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491" yWindow="15" windowWidth="6345" windowHeight="9270" activeTab="1"/>
  </bookViews>
  <sheets>
    <sheet name="Notes3A" sheetId="1" r:id="rId1"/>
    <sheet name="Classements3A" sheetId="2" r:id="rId2"/>
    <sheet name="Par jury" sheetId="3" r:id="rId3"/>
    <sheet name="Fiche 3 ans" sheetId="4" r:id="rId4"/>
  </sheets>
  <externalReferences>
    <externalReference r:id="rId11"/>
    <externalReference r:id="rId12"/>
  </externalReferences>
  <definedNames>
    <definedName name="_xlfn.IFERROR" hidden="1">#NAME?</definedName>
    <definedName name="Allures" localSheetId="0">'Notes3A'!$AA$4:$AC$26</definedName>
    <definedName name="Allures">#REF!</definedName>
    <definedName name="Allures_Coef">'Fiche 3 ans'!$F$12</definedName>
    <definedName name="CoefAllures1A">#REF!</definedName>
    <definedName name="CoefAllures2A">#REF!</definedName>
    <definedName name="CoefModèle1A">#REF!</definedName>
    <definedName name="CoefModèle2A">#REF!</definedName>
    <definedName name="CoefObstacle2A">#REF!</definedName>
    <definedName name="_xlnm.Print_Titles" localSheetId="1">'Classements3A'!$1:$3</definedName>
    <definedName name="_xlnm.Print_Titles" localSheetId="0">'Notes3A'!$1:$3</definedName>
    <definedName name="Liste_1_an">#REF!</definedName>
    <definedName name="Liste_2_ans" localSheetId="2">'[1]Notes1_2A'!$4:$39</definedName>
    <definedName name="Liste_2_ans">#REF!</definedName>
    <definedName name="Liste_3_ans" localSheetId="2">'Notes3A'!$A$4:$AL$26</definedName>
    <definedName name="Liste_3_ans">'Notes3A'!$A$4:$AL$26</definedName>
    <definedName name="Liste_Poulinières" localSheetId="2">'[1]NotesPS'!$4:$45</definedName>
    <definedName name="Liste_Poulinières">#REF!</definedName>
    <definedName name="Liste_PS_ans">#REF!</definedName>
    <definedName name="Modèle" localSheetId="0">'Notes3A'!$K$4:$T$26</definedName>
    <definedName name="Modèle">#REF!</definedName>
    <definedName name="Modèle_Coef">'Fiche 3 ans'!$C$12</definedName>
    <definedName name="N">'Fiche 3 ans'!$D$2</definedName>
    <definedName name="N_1_an">#REF!</definedName>
    <definedName name="N_5">#REF!</definedName>
    <definedName name="N_Poulinières">#REF!</definedName>
    <definedName name="NOM">'Fiche 3 ans'!$B$2</definedName>
    <definedName name="NOM_1_an">#REF!</definedName>
    <definedName name="Obstacle" localSheetId="0">'Notes3A'!$V$4:$Y$26</definedName>
    <definedName name="Obstacle">#REF!</definedName>
    <definedName name="Obstacle_Coef">'Fiche 3 ans'!$F$3</definedName>
    <definedName name="Pelotons">#REF!</definedName>
    <definedName name="Pénalité" localSheetId="0">'Notes3A'!$AE$4:$AE$26</definedName>
    <definedName name="Pénalité">#REF!</definedName>
    <definedName name="Poneys" localSheetId="0">'Notes3A'!$B$4:$J$26</definedName>
    <definedName name="Poneys">#REF!</definedName>
    <definedName name="Propriétaire" localSheetId="0">'Notes3A'!$F$4:$J$26</definedName>
    <definedName name="Propriétaire">#REF!</definedName>
    <definedName name="_xlnm.Print_Area" localSheetId="1">'Classements3A'!$A$1:$P$25</definedName>
    <definedName name="_xlnm.Print_Area" localSheetId="3">'Fiche 3 ans'!$A$1:$H$25</definedName>
    <definedName name="_xlnm.Print_Area" localSheetId="0">'Notes3A'!$A$1:$AL$26</definedName>
  </definedNames>
  <calcPr fullCalcOnLoad="1"/>
  <pivotCaches>
    <pivotCache cacheId="48" r:id="rId5"/>
    <pivotCache cacheId="49" r:id="rId6"/>
    <pivotCache cacheId="38" r:id="rId7"/>
    <pivotCache cacheId="50" r:id="rId8"/>
  </pivotCaches>
</workbook>
</file>

<file path=xl/comments1.xml><?xml version="1.0" encoding="utf-8"?>
<comments xmlns="http://schemas.openxmlformats.org/spreadsheetml/2006/main">
  <authors>
    <author/>
  </authors>
  <commentList>
    <comment ref="J3" authorId="0">
      <text>
        <r>
          <rPr>
            <b/>
            <sz val="12"/>
            <color indexed="17"/>
            <rFont val="Comic Sans MS"/>
            <family val="4"/>
          </rPr>
          <t xml:space="preserve">Pour préparer un Concours
</t>
        </r>
        <r>
          <rPr>
            <sz val="12"/>
            <color indexed="8"/>
            <rFont val="Comic Sans MS"/>
            <family val="4"/>
          </rPr>
          <t xml:space="preserve">Effacer les Colonnes variables:
</t>
        </r>
        <r>
          <rPr>
            <b/>
            <sz val="12"/>
            <color indexed="12"/>
            <rFont val="Comic Sans MS"/>
            <family val="4"/>
          </rPr>
          <t>F5 Double CLIC</t>
        </r>
        <r>
          <rPr>
            <sz val="12"/>
            <color indexed="12"/>
            <rFont val="Comic Sans MS"/>
            <family val="4"/>
          </rPr>
          <t xml:space="preserve"> "</t>
        </r>
        <r>
          <rPr>
            <b/>
            <sz val="12"/>
            <color indexed="54"/>
            <rFont val="Comic Sans MS"/>
            <family val="4"/>
          </rPr>
          <t>Poneys</t>
        </r>
        <r>
          <rPr>
            <sz val="12"/>
            <color indexed="12"/>
            <rFont val="Comic Sans MS"/>
            <family val="4"/>
          </rPr>
          <t xml:space="preserve">" </t>
        </r>
        <r>
          <rPr>
            <b/>
            <sz val="12"/>
            <color indexed="12"/>
            <rFont val="Comic Sans MS"/>
            <family val="4"/>
          </rPr>
          <t>Suppr
F5 Double CLIC "</t>
        </r>
        <r>
          <rPr>
            <b/>
            <sz val="12"/>
            <color indexed="54"/>
            <rFont val="Comic Sans MS"/>
            <family val="4"/>
          </rPr>
          <t>Obstacle</t>
        </r>
        <r>
          <rPr>
            <b/>
            <sz val="12"/>
            <color indexed="12"/>
            <rFont val="Comic Sans MS"/>
            <family val="4"/>
          </rPr>
          <t>" Suppr
F5 Double CLIC</t>
        </r>
        <r>
          <rPr>
            <sz val="12"/>
            <color indexed="8"/>
            <rFont val="Comic Sans MS"/>
            <family val="4"/>
          </rPr>
          <t xml:space="preserve"> "</t>
        </r>
        <r>
          <rPr>
            <b/>
            <sz val="12"/>
            <color indexed="54"/>
            <rFont val="Comic Sans MS"/>
            <family val="4"/>
          </rPr>
          <t>Modèle</t>
        </r>
        <r>
          <rPr>
            <sz val="12"/>
            <color indexed="8"/>
            <rFont val="Comic Sans MS"/>
            <family val="4"/>
          </rPr>
          <t xml:space="preserve">" </t>
        </r>
        <r>
          <rPr>
            <b/>
            <sz val="12"/>
            <color indexed="12"/>
            <rFont val="Comic Sans MS"/>
            <family val="4"/>
          </rPr>
          <t>Suppr
F5 Double CLIC</t>
        </r>
        <r>
          <rPr>
            <sz val="12"/>
            <color indexed="8"/>
            <rFont val="Comic Sans MS"/>
            <family val="4"/>
          </rPr>
          <t xml:space="preserve"> "</t>
        </r>
        <r>
          <rPr>
            <b/>
            <sz val="12"/>
            <color indexed="54"/>
            <rFont val="Comic Sans MS"/>
            <family val="4"/>
          </rPr>
          <t>Allures</t>
        </r>
        <r>
          <rPr>
            <sz val="12"/>
            <color indexed="8"/>
            <rFont val="Comic Sans MS"/>
            <family val="4"/>
          </rPr>
          <t xml:space="preserve">" </t>
        </r>
        <r>
          <rPr>
            <b/>
            <sz val="12"/>
            <color indexed="12"/>
            <rFont val="Comic Sans MS"/>
            <family val="4"/>
          </rPr>
          <t xml:space="preserve">Suppr
F5 Double CLIC </t>
        </r>
        <r>
          <rPr>
            <b/>
            <sz val="12"/>
            <color indexed="54"/>
            <rFont val="Comic Sans MS"/>
            <family val="4"/>
          </rPr>
          <t>"Pénalité"</t>
        </r>
        <r>
          <rPr>
            <b/>
            <sz val="12"/>
            <color indexed="12"/>
            <rFont val="Comic Sans MS"/>
            <family val="4"/>
          </rPr>
          <t xml:space="preserve"> Suppr
</t>
        </r>
      </text>
    </comment>
  </commentList>
</comments>
</file>

<file path=xl/sharedStrings.xml><?xml version="1.0" encoding="utf-8"?>
<sst xmlns="http://schemas.openxmlformats.org/spreadsheetml/2006/main" count="409" uniqueCount="235">
  <si>
    <t>MONTES</t>
  </si>
  <si>
    <t>TOTAL GENERAL</t>
  </si>
  <si>
    <t xml:space="preserve">TOTAL </t>
  </si>
  <si>
    <t>ECARTS DE COMPORTEMENT</t>
  </si>
  <si>
    <t>-</t>
  </si>
  <si>
    <t>Harmonie générale (Coef 2)</t>
  </si>
  <si>
    <t xml:space="preserve"> +/-</t>
  </si>
  <si>
    <r>
      <t xml:space="preserve"> </t>
    </r>
    <r>
      <rPr>
        <sz val="18"/>
        <rFont val="Comic Sans MS"/>
        <family val="4"/>
      </rPr>
      <t>MODÈLE</t>
    </r>
  </si>
  <si>
    <r>
      <t>TOTAL GENERAL</t>
    </r>
    <r>
      <rPr>
        <sz val="12"/>
        <color indexed="17"/>
        <rFont val="Comic Sans MS"/>
        <family val="4"/>
      </rPr>
      <t xml:space="preserve"> DES 3 TESTS</t>
    </r>
  </si>
  <si>
    <r>
      <t>Association</t>
    </r>
    <r>
      <rPr>
        <b/>
        <sz val="14"/>
        <rFont val="Comic Sans MS"/>
        <family val="4"/>
      </rPr>
      <t xml:space="preserve"> </t>
    </r>
    <r>
      <rPr>
        <b/>
        <sz val="14"/>
        <color indexed="57"/>
        <rFont val="Comic Sans MS"/>
        <family val="4"/>
      </rPr>
      <t>Normande</t>
    </r>
  </si>
  <si>
    <t>d'Eleveurs de poneys</t>
  </si>
  <si>
    <t>Nom</t>
  </si>
  <si>
    <t>Race</t>
  </si>
  <si>
    <t>Sexe</t>
  </si>
  <si>
    <t>Taille</t>
  </si>
  <si>
    <t>Père</t>
  </si>
  <si>
    <t>Mère</t>
  </si>
  <si>
    <t>Père de mère</t>
  </si>
  <si>
    <t>Cavalier</t>
  </si>
  <si>
    <t>M</t>
  </si>
  <si>
    <t>PFS</t>
  </si>
  <si>
    <t>OC</t>
  </si>
  <si>
    <t>CO</t>
  </si>
  <si>
    <t>F</t>
  </si>
  <si>
    <t>Total</t>
  </si>
  <si>
    <t>N°</t>
  </si>
  <si>
    <t>Section</t>
  </si>
  <si>
    <t>PROPRIETAIRE</t>
  </si>
  <si>
    <t>Adresse</t>
  </si>
  <si>
    <t>NAISSEUR</t>
  </si>
  <si>
    <t>ADRESSE NAISSEUR</t>
  </si>
  <si>
    <t xml:space="preserve">Tête et encolure </t>
  </si>
  <si>
    <t xml:space="preserve">Epaule, bras </t>
  </si>
  <si>
    <t xml:space="preserve">Garrot, dos, rein </t>
  </si>
  <si>
    <t xml:space="preserve">Croupe et cuisse </t>
  </si>
  <si>
    <t xml:space="preserve">Profondeur, épaisseur </t>
  </si>
  <si>
    <t>Antérieurs (aplombs, solidité, épaisseur)</t>
  </si>
  <si>
    <t>Postérieurs (aplombs, solidité, épaisseur)</t>
  </si>
  <si>
    <t xml:space="preserve">Tissus, état </t>
  </si>
  <si>
    <t>TOTAL  MODÈLE / 10</t>
  </si>
  <si>
    <t xml:space="preserve">Equilibre, Abord </t>
  </si>
  <si>
    <t xml:space="preserve">Force et couverture </t>
  </si>
  <si>
    <t xml:space="preserve">Style et trajectoire </t>
  </si>
  <si>
    <t xml:space="preserve">Respect et franchise </t>
  </si>
  <si>
    <t>TOTAL  OBSTACLE / 10</t>
  </si>
  <si>
    <t xml:space="preserve">Pas </t>
  </si>
  <si>
    <t xml:space="preserve">Trot </t>
  </si>
  <si>
    <t xml:space="preserve">Galop </t>
  </si>
  <si>
    <t>TOTAL ALLURES / 10</t>
  </si>
  <si>
    <t>Pénalité</t>
  </si>
  <si>
    <t>TOTAL GENERAL DES 3 TESTS / 10</t>
  </si>
  <si>
    <t>HFD</t>
  </si>
  <si>
    <t>MD</t>
  </si>
  <si>
    <t>HFB</t>
  </si>
  <si>
    <r>
      <t xml:space="preserve"> </t>
    </r>
    <r>
      <rPr>
        <b/>
        <sz val="14"/>
        <rFont val="Comic Sans MS"/>
        <family val="4"/>
      </rPr>
      <t>+</t>
    </r>
    <r>
      <rPr>
        <b/>
        <sz val="10"/>
        <rFont val="Comic Sans MS"/>
        <family val="4"/>
      </rPr>
      <t xml:space="preserve"> </t>
    </r>
    <r>
      <rPr>
        <sz val="10"/>
        <rFont val="Comic Sans MS"/>
        <family val="4"/>
      </rPr>
      <t xml:space="preserve">Avantage, </t>
    </r>
    <r>
      <rPr>
        <b/>
        <sz val="14"/>
        <rFont val="Comic Sans MS"/>
        <family val="4"/>
      </rPr>
      <t>-</t>
    </r>
    <r>
      <rPr>
        <b/>
        <sz val="10"/>
        <rFont val="Comic Sans MS"/>
        <family val="4"/>
      </rPr>
      <t xml:space="preserve"> </t>
    </r>
    <r>
      <rPr>
        <sz val="10"/>
        <rFont val="Comic Sans MS"/>
        <family val="4"/>
      </rPr>
      <t>Pénalité</t>
    </r>
  </si>
  <si>
    <t>CONCOURS D'ELEVAGE</t>
  </si>
  <si>
    <t>PRECISIONS</t>
  </si>
  <si>
    <t>MODELE</t>
  </si>
  <si>
    <t>OBSTACLE</t>
  </si>
  <si>
    <t>ALLURES</t>
  </si>
  <si>
    <t>PONEY</t>
  </si>
  <si>
    <t>né le</t>
  </si>
  <si>
    <t>ORGANISATION</t>
  </si>
  <si>
    <t>NORMANDIE</t>
  </si>
  <si>
    <t>TRI</t>
  </si>
  <si>
    <t>CLASSEMENT GENERAL</t>
  </si>
  <si>
    <t>INFORMATION SUR LE PONEY</t>
  </si>
  <si>
    <t>TOTAL</t>
  </si>
  <si>
    <t>Classement</t>
  </si>
  <si>
    <t>TOTAL MODELE</t>
  </si>
  <si>
    <t>TOTAL OBSTACLE</t>
  </si>
  <si>
    <t>TOTAL ALLURES</t>
  </si>
  <si>
    <t>PERE</t>
  </si>
  <si>
    <t>MERE</t>
  </si>
  <si>
    <t>Concours:</t>
  </si>
  <si>
    <t>NOM</t>
  </si>
  <si>
    <t xml:space="preserve"> ALLURES</t>
  </si>
  <si>
    <t xml:space="preserve"> OBSTACLE</t>
  </si>
  <si>
    <t>Bonifications ou pénalités pour présentation</t>
  </si>
  <si>
    <t>PENALITÉS À DÉDUIRE</t>
  </si>
  <si>
    <t>H</t>
  </si>
  <si>
    <t>LE PIN AU HARAS</t>
  </si>
  <si>
    <t>LOCAL</t>
  </si>
  <si>
    <t>DA</t>
  </si>
  <si>
    <t>MOORTOWN STORM (GB) DA</t>
  </si>
  <si>
    <t>MME AGNES BUISINE
61230 MARDILLY</t>
  </si>
  <si>
    <t>MME BUISINE AGNES
61230 MARDILLY</t>
  </si>
  <si>
    <t>DEXTER LEAM PONDI (FR) CO</t>
  </si>
  <si>
    <t>KOOIHUSTER TEAKE (NL) POET</t>
  </si>
  <si>
    <t>DON JUAN V (FR) CO</t>
  </si>
  <si>
    <t>MB</t>
  </si>
  <si>
    <t>Somme - N°</t>
  </si>
  <si>
    <t>CLASSEMENT</t>
  </si>
  <si>
    <t>SHERBERTON BAILEYS (GB) DA</t>
  </si>
  <si>
    <t>MME MELANIE VIVANT
61170 ST JULIEN SUR SARTHE</t>
  </si>
  <si>
    <t>MME VIVANT MELANIE
61170 ST JULIEN SUR SARTHE</t>
  </si>
  <si>
    <t>SYRIUS DE MAI (FR) PFS</t>
  </si>
  <si>
    <t>LILY DE VALLEY SQUARE (FR) DA</t>
  </si>
  <si>
    <t>ARON N (DE) DRPON</t>
  </si>
  <si>
    <t>FRICOTIN (FR) CO</t>
  </si>
  <si>
    <t>MLLE JENNIFER PARDANAUD
61160 OMMEEL</t>
  </si>
  <si>
    <t>M. LELEU JACK
14340 LA ROQUE BAIGNARD
M. LELEU LUDOVIC
14700 ERAINES</t>
  </si>
  <si>
    <t>RAMBO (NL) NF</t>
  </si>
  <si>
    <t>MME Eugénie MUNIER</t>
  </si>
  <si>
    <t>Harmonie générale  /10 ( Coef. 2)</t>
  </si>
  <si>
    <t>ENGAGEUR</t>
  </si>
  <si>
    <t>BYE BYE PARIS LE SAGE</t>
  </si>
  <si>
    <t>TULIPE DU BOCAGE (FR) DA</t>
  </si>
  <si>
    <t>PARIS TEXAS SQUARE (FR) DA</t>
  </si>
  <si>
    <t>MME Mélanie VIVANT</t>
  </si>
  <si>
    <t>BENEF DES BRIMBELLES</t>
  </si>
  <si>
    <t>POETIC JUSTICE (IE) CO</t>
  </si>
  <si>
    <t>O'FOLLE D'HARYNS (FR) PFS</t>
  </si>
  <si>
    <t>M. JEAN-CHARLES THIBAUT
61230 MARDILLY</t>
  </si>
  <si>
    <t>M. THIBAUT JEAN-CHARLES
61230 MARDILLY
MME BREMAUD CLAUDIE
61230 MARDILLY</t>
  </si>
  <si>
    <t>MLLE Jennifer PARDANAUD</t>
  </si>
  <si>
    <t>BOOSTER DE LA CROIX</t>
  </si>
  <si>
    <t>KANTJE'S RONALDO (NL) NF</t>
  </si>
  <si>
    <t>DAMIETTE (FR) PFS</t>
  </si>
  <si>
    <t>DR.V MATHILDE LESOUEF
14800 BONNEVILLE SUR TOUQUES</t>
  </si>
  <si>
    <t>DR.V LESOUEF MATHILDE
14800 BONNEVILLE SUR TOUQUES</t>
  </si>
  <si>
    <t>DR.V Mathilde LESOUEF</t>
  </si>
  <si>
    <t>BOSTON DES LONDES</t>
  </si>
  <si>
    <t>GOLIATH DES LONDES (FR) PFS</t>
  </si>
  <si>
    <t>INDIANAPOLIS II (FR) SFA</t>
  </si>
  <si>
    <t>SOCRATE DE CHIVRE (FR) SFA</t>
  </si>
  <si>
    <t>M. LE TOURNEUR LAURENT
14400 TOUR EN BESSIN</t>
  </si>
  <si>
    <t>BJORKO D'ORLOV</t>
  </si>
  <si>
    <t>GALA DE MONTIEGE (FR) PFS</t>
  </si>
  <si>
    <t>LIBELLUNE DE PARIGNY (FR) PFS</t>
  </si>
  <si>
    <t>CREOLE D'ANGRIE (FR) PFS</t>
  </si>
  <si>
    <t>M. PHILIPPE CHENOT
61440 MESSEI</t>
  </si>
  <si>
    <t>D' ORLOV S.C.E.A.
61440 MESSEI</t>
  </si>
  <si>
    <t>M. Philippe CHENOT</t>
  </si>
  <si>
    <t>BEN DE VILLEE</t>
  </si>
  <si>
    <t>EMIR DE VILLEE (FR) PFS</t>
  </si>
  <si>
    <t>QUENELLE DES HULAIS (FR) PFS</t>
  </si>
  <si>
    <t>KISS ME DE VILLEE (FR) PFS</t>
  </si>
  <si>
    <t>M. CONSTANT SERUSIER
72110 NOGENT LE BERNARD</t>
  </si>
  <si>
    <t>M. SERUSIER CONSTANT
72110 NOGENT LE BERNARD</t>
  </si>
  <si>
    <t>BORGUND D'ORLOV</t>
  </si>
  <si>
    <t>TYNWALD D'ORLOV (FR) SFB</t>
  </si>
  <si>
    <t>EASY BOY (FR) SFA</t>
  </si>
  <si>
    <t>BALDUR D'ORLOV</t>
  </si>
  <si>
    <t>HIOWA D'ORLOV (FR) PO</t>
  </si>
  <si>
    <t>ARLEQUIN DE MESCAM (FR) CO</t>
  </si>
  <si>
    <t>BEAUTY ROCQ</t>
  </si>
  <si>
    <t>TESS ROCQ (FR) CO</t>
  </si>
  <si>
    <t>JUAN DU BOC (FR) CO</t>
  </si>
  <si>
    <t>BLUE JEANS</t>
  </si>
  <si>
    <t>MIRIEJANS J R (NL) NF</t>
  </si>
  <si>
    <t>GAZELLE DE TYV (FR) PFS</t>
  </si>
  <si>
    <t>ALRICHO (FR) AR</t>
  </si>
  <si>
    <t>MLLE FRANCOISE DUVAL
27250 CHERONVILLIERS</t>
  </si>
  <si>
    <t>MLLE DUVAL FRANCOISE
27250 CHERONVILLIERS</t>
  </si>
  <si>
    <t>M. Gabin CHOCU</t>
  </si>
  <si>
    <t>BE ICONIC SQUARE</t>
  </si>
  <si>
    <t>PLOVERS COCKLESHELL (GB) DA</t>
  </si>
  <si>
    <t>TEIGNHEAD KING OF CLUBS (GB) DA</t>
  </si>
  <si>
    <t>M. Timothée THIBAUT</t>
  </si>
  <si>
    <t>BE A TEA ADDICT SQUAR</t>
  </si>
  <si>
    <t>BIRTHDAY PARTY SQUARE</t>
  </si>
  <si>
    <t>VIVA LES PLATANE (FR) DA</t>
  </si>
  <si>
    <t>SHILSTONE ROCKS FURIOSO (GB) DA</t>
  </si>
  <si>
    <t>BARONE DE TAILLE</t>
  </si>
  <si>
    <t>HEBE DES HURLIERES (FR) PFS</t>
  </si>
  <si>
    <t>KALIPSO (FR) AR</t>
  </si>
  <si>
    <t>MME LYDIE HUAULT
14410 BERNIERES LE PATRY</t>
  </si>
  <si>
    <t>MME HUAULT LYDIE
14410 BERNIERES LE PATRY</t>
  </si>
  <si>
    <t>MLLE Clémence HUAULT</t>
  </si>
  <si>
    <t>BETTY DU CLOS DRIEUX</t>
  </si>
  <si>
    <t>MAC GEYVER (DE) DRPON</t>
  </si>
  <si>
    <t>JASMINE DE LA MOUCHE (FR) PFS</t>
  </si>
  <si>
    <t>FORBAN DE RAVARY (FR) CO</t>
  </si>
  <si>
    <t>M. ROGER GRASMENIL
50600 ST HILAIRE DU HARCOUET</t>
  </si>
  <si>
    <t>M. GRASMENIL ROGER
50600 ST HILAIRE DU HARCOUET</t>
  </si>
  <si>
    <t>MLLE Coralie CLEMENT</t>
  </si>
  <si>
    <t>BERENICE DE LOYE</t>
  </si>
  <si>
    <t>COPB</t>
  </si>
  <si>
    <t>CALAS DE LOYE (FR) SFA</t>
  </si>
  <si>
    <t>ARTHY (FR) SFA</t>
  </si>
  <si>
    <t>MLLE JUSTINE RENAULT
76480 LE MESNIL SOUS JUMIEGES</t>
  </si>
  <si>
    <t>MME PARISOT LUCETTE
61470 LE SAP</t>
  </si>
  <si>
    <t>MLLE Justine RENAULT</t>
  </si>
  <si>
    <t>BON DU TRESOR AU PENA</t>
  </si>
  <si>
    <t>REXTER D'OR (FR) PFS</t>
  </si>
  <si>
    <t>SIGNEE FURAX DU PENA (FR) PFS</t>
  </si>
  <si>
    <t>NAJISCO D'HARYNS (FR) PFS</t>
  </si>
  <si>
    <t>M. SEBASTIEN MAILLET
61290 LA LANDE SUR EURE</t>
  </si>
  <si>
    <t>MME MAILLET CHRISTELLE
61290 LA LANDE SUR EURE
M. MAILLET SEBASTIEN
61290 LA LANDE SUR EURE</t>
  </si>
  <si>
    <t>MLLE Valentine LEHEMBRE</t>
  </si>
  <si>
    <t>BRELAN D'AS</t>
  </si>
  <si>
    <t>ICE AND FIRE D'ALBRAN (FR) CO</t>
  </si>
  <si>
    <t>TRY YANNE DU HAHON (FR) OC</t>
  </si>
  <si>
    <t>DR LAURE BOUGLE MANGIN
61400 LE PIN LA GARENNE</t>
  </si>
  <si>
    <t>DR BOUGLE MANGIN LAURE
61400 LE PIN LA GARENNE</t>
  </si>
  <si>
    <t>M. LAURENT LE TOURNEUR
14400 TOUR EN BESSIN</t>
  </si>
  <si>
    <t>BOOMERANG RISLOIS</t>
  </si>
  <si>
    <t>PEPS DOMAIN (FR) PFS</t>
  </si>
  <si>
    <t>FOUDRE DU BASBERG (FR) PFS</t>
  </si>
  <si>
    <t>REX (FR) *AA*</t>
  </si>
  <si>
    <t>M. ARNAUD BONVALET
27170 BEAUMONTEL</t>
  </si>
  <si>
    <t>M. BONVALET ARNAUD
27170 BEAUMONTEL</t>
  </si>
  <si>
    <t>MLLE Charlène DUVEY</t>
  </si>
  <si>
    <t>BLACK SWAN DU BUHOT</t>
  </si>
  <si>
    <t>HASTING DU BUHOT (FR) CO</t>
  </si>
  <si>
    <t>EMERAUDE DU PAING (FR) PFS</t>
  </si>
  <si>
    <t>VAZY DU VIERTOT (FR) PFS</t>
  </si>
  <si>
    <t>MME MARIE-CHRISTINE LESTELLE
14710 FORMIGNY</t>
  </si>
  <si>
    <t>MME LESTELLE MARIE-CHRISTINE
14710 FORMIGNY</t>
  </si>
  <si>
    <t>MLLE Marion LESTELLE</t>
  </si>
  <si>
    <t>BAZOOKA RISLOIS</t>
  </si>
  <si>
    <t>SMINOS DE CIVRY (FR) NF</t>
  </si>
  <si>
    <t>ORIETA DU PONCEL (FR) SFA</t>
  </si>
  <si>
    <t>FLIPPER D'ELLE (FR) SFA</t>
  </si>
  <si>
    <t>BELTAINE DEW CLADDAGH</t>
  </si>
  <si>
    <t>BUNOWEN PADDY (GB) CO</t>
  </si>
  <si>
    <t>QUIXTER DU LUOT (FR) CO</t>
  </si>
  <si>
    <t>TELEX (FR) CO</t>
  </si>
  <si>
    <t>M. GUILLAUME BLANC
61570 ALMENECHES</t>
  </si>
  <si>
    <t>MME CAILLAREC CLAIRE
61570 ALMENECHES</t>
  </si>
  <si>
    <t>M. Guillaume BLANC</t>
  </si>
  <si>
    <t>BRIMBELLE DE CAZALS</t>
  </si>
  <si>
    <t>THUNDER DU BLIN (FR) CO</t>
  </si>
  <si>
    <t>PLANETE ROUGE (FR) PS</t>
  </si>
  <si>
    <t>LESOTHO (US) PS</t>
  </si>
  <si>
    <t>M. LEONARDIS JEAN-BAPTISTE
82600 VERDUN SUR GARONNE
MME LEONARDIS CELINE
82600 VERDUN SUR GARONNE</t>
  </si>
  <si>
    <t>2014 (61)</t>
  </si>
  <si>
    <t>A Vendre</t>
  </si>
  <si>
    <t>MC</t>
  </si>
  <si>
    <t/>
  </si>
  <si>
    <t>HFE</t>
  </si>
  <si>
    <t>Mlle. Colline MASSOT</t>
  </si>
  <si>
    <t>Mlle Régina PAGNON</t>
  </si>
  <si>
    <t>MLLE Lisa BOUGLE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</si>
</sst>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N°&quot;"/>
    <numFmt numFmtId="167" formatCode="d\-mmm\-yy;@"/>
    <numFmt numFmtId="168" formatCode="0.0;[Red]0.0"/>
    <numFmt numFmtId="169" formatCode="0.00;[Red]0.00"/>
    <numFmt numFmtId="170" formatCode="&quot;Temps &quot;hh:mm"/>
    <numFmt numFmtId="171" formatCode="dddd&quot;, &quot;mmmm\ dd&quot;, &quot;yyyy"/>
    <numFmt numFmtId="172" formatCode="0.0"/>
    <numFmt numFmtId="173" formatCode="/##"/>
    <numFmt numFmtId="174" formatCode="[$-40C]dddd\ d\ mmmm\ yyyy"/>
    <numFmt numFmtId="175" formatCode="[$-F800]dddd\,\ mmmm\ dd\,\ yyyy"/>
    <numFmt numFmtId="176" formatCode="syy\u\t\ \d\'\Obbs\tyy\c\le"/>
    <numFmt numFmtId="177" formatCode="&quot;Saut en Liberté &quot;\ hh:mm"/>
    <numFmt numFmtId="178" formatCode="&quot;Saut&quot;"/>
    <numFmt numFmtId="179" formatCode="0#&quot; &quot;##&quot; &quot;##&quot; &quot;##&quot; &quot;##"/>
    <numFmt numFmtId="180" formatCode="&quot;Section&quot;"/>
    <numFmt numFmtId="181" formatCode="&quot;Section&quot;#"/>
    <numFmt numFmtId="182" formatCode="&quot;Coef.&quot;#"/>
    <numFmt numFmtId="183" formatCode="#,##0\ &quot;F&quot;;\-#,##0\ &quot;F&quot;"/>
    <numFmt numFmtId="184" formatCode="#,##0\ &quot;F&quot;;[Red]\-#,##0\ &quot;F&quot;"/>
    <numFmt numFmtId="185" formatCode="#,##0.00\ &quot;F&quot;;\-#,##0.00\ &quot;F&quot;"/>
    <numFmt numFmtId="186" formatCode="#,##0.00\ &quot;F&quot;;[Red]\-#,##0.00\ &quot;F&quot;"/>
    <numFmt numFmtId="187" formatCode="_-* #,##0\ &quot;F&quot;_-;\-* #,##0\ &quot;F&quot;_-;_-* &quot;-&quot;\ &quot;F&quot;_-;_-@_-"/>
    <numFmt numFmtId="188" formatCode="_-* #,##0\ _F_-;\-* #,##0\ _F_-;_-* &quot;-&quot;\ _F_-;_-@_-"/>
    <numFmt numFmtId="189" formatCode="_-* #,##0.00\ &quot;F&quot;_-;\-* #,##0.00\ &quot;F&quot;_-;_-* &quot;-&quot;??\ &quot;F&quot;_-;_-@_-"/>
    <numFmt numFmtId="190" formatCode="_-* #,##0.00\ _F_-;\-* #,##0.00\ _F_-;_-* &quot;-&quot;??\ _F_-;_-@_-"/>
    <numFmt numFmtId="191" formatCode="[$-40C]d\-mmm\-yy;@"/>
    <numFmt numFmtId="192" formatCode="[$-40C]d\-mmm;@"/>
    <numFmt numFmtId="193" formatCode="0.000;[Red]0.000"/>
    <numFmt numFmtId="194" formatCode="&quot;/&quot;##"/>
    <numFmt numFmtId="195" formatCode="&quot;temps&quot;\ hh:mm"/>
    <numFmt numFmtId="196" formatCode="&quot;Temps&quot;\ hh:mm"/>
    <numFmt numFmtId="197" formatCode="0;[Red]0"/>
    <numFmt numFmtId="198" formatCode="&quot;Coef.&quot;0"/>
    <numFmt numFmtId="199" formatCode="d\-mmm"/>
    <numFmt numFmtId="200" formatCode="&quot;Note / &quot;00"/>
    <numFmt numFmtId="201" formatCode="&quot;Coeff. &quot;0.0"/>
    <numFmt numFmtId="202" formatCode="[$€-2]\ #,##0.00_);[Red]\([$€-2]\ #,##0.00\)"/>
    <numFmt numFmtId="203" formatCode="h:mm;@"/>
    <numFmt numFmtId="204" formatCode="0.00&quot;/10&quot;"/>
    <numFmt numFmtId="205" formatCode="&quot;Retenu pour la mère&quot;"/>
    <numFmt numFmtId="206" formatCode="mmm\-yyyy"/>
    <numFmt numFmtId="207" formatCode="dd/mm/yy;@"/>
  </numFmts>
  <fonts count="62">
    <font>
      <sz val="10"/>
      <name val="Comic Sans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Comic Sans MS"/>
      <family val="4"/>
    </font>
    <font>
      <u val="single"/>
      <sz val="10"/>
      <color indexed="36"/>
      <name val="Comic Sans MS"/>
      <family val="4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Comic Sans MS"/>
      <family val="4"/>
    </font>
    <font>
      <b/>
      <sz val="10"/>
      <name val="Comic Sans MS"/>
      <family val="4"/>
    </font>
    <font>
      <b/>
      <sz val="14"/>
      <name val="Comic Sans MS"/>
      <family val="4"/>
    </font>
    <font>
      <sz val="10"/>
      <name val="Lucida Sans Unicode"/>
      <family val="2"/>
    </font>
    <font>
      <b/>
      <sz val="10"/>
      <color indexed="17"/>
      <name val="Comic Sans MS"/>
      <family val="4"/>
    </font>
    <font>
      <b/>
      <sz val="12"/>
      <color indexed="10"/>
      <name val="Comic Sans MS"/>
      <family val="4"/>
    </font>
    <font>
      <b/>
      <sz val="8"/>
      <name val="Comic Sans MS"/>
      <family val="4"/>
    </font>
    <font>
      <b/>
      <sz val="12"/>
      <color indexed="17"/>
      <name val="Comic Sans MS"/>
      <family val="4"/>
    </font>
    <font>
      <sz val="12"/>
      <color indexed="8"/>
      <name val="Comic Sans MS"/>
      <family val="4"/>
    </font>
    <font>
      <b/>
      <sz val="12"/>
      <color indexed="12"/>
      <name val="Comic Sans MS"/>
      <family val="4"/>
    </font>
    <font>
      <sz val="12"/>
      <color indexed="12"/>
      <name val="Comic Sans MS"/>
      <family val="4"/>
    </font>
    <font>
      <b/>
      <sz val="12"/>
      <color indexed="54"/>
      <name val="Comic Sans MS"/>
      <family val="4"/>
    </font>
    <font>
      <b/>
      <sz val="10"/>
      <color indexed="12"/>
      <name val="Comic Sans MS"/>
      <family val="4"/>
    </font>
    <font>
      <b/>
      <sz val="8"/>
      <color indexed="12"/>
      <name val="Comic Sans MS"/>
      <family val="4"/>
    </font>
    <font>
      <b/>
      <sz val="10"/>
      <color indexed="48"/>
      <name val="Comic Sans MS"/>
      <family val="4"/>
    </font>
    <font>
      <b/>
      <sz val="10"/>
      <color indexed="57"/>
      <name val="Comic Sans MS"/>
      <family val="4"/>
    </font>
    <font>
      <b/>
      <sz val="10"/>
      <color indexed="10"/>
      <name val="Comic Sans MS"/>
      <family val="4"/>
    </font>
    <font>
      <b/>
      <sz val="12"/>
      <name val="Comic Sans MS"/>
      <family val="4"/>
    </font>
    <font>
      <sz val="11"/>
      <name val="Comic Sans MS"/>
      <family val="4"/>
    </font>
    <font>
      <sz val="14"/>
      <name val="Comic Sans MS"/>
      <family val="4"/>
    </font>
    <font>
      <sz val="18"/>
      <name val="Comic Sans MS"/>
      <family val="4"/>
    </font>
    <font>
      <sz val="12"/>
      <color indexed="17"/>
      <name val="Comic Sans MS"/>
      <family val="4"/>
    </font>
    <font>
      <sz val="11"/>
      <color indexed="9"/>
      <name val="Comic Sans MS"/>
      <family val="4"/>
    </font>
    <font>
      <sz val="8"/>
      <name val="Arial"/>
      <family val="2"/>
    </font>
    <font>
      <sz val="10"/>
      <color indexed="12"/>
      <name val="Comic Sans MS"/>
      <family val="4"/>
    </font>
    <font>
      <b/>
      <sz val="14"/>
      <color indexed="12"/>
      <name val="Comic Sans MS"/>
      <family val="4"/>
    </font>
    <font>
      <b/>
      <sz val="11"/>
      <color indexed="12"/>
      <name val="Comic Sans MS"/>
      <family val="4"/>
    </font>
    <font>
      <sz val="9"/>
      <color indexed="12"/>
      <name val="Comic Sans MS"/>
      <family val="4"/>
    </font>
    <font>
      <b/>
      <sz val="14"/>
      <color indexed="48"/>
      <name val="Comic Sans MS"/>
      <family val="4"/>
    </font>
    <font>
      <b/>
      <sz val="14"/>
      <color indexed="57"/>
      <name val="Comic Sans MS"/>
      <family val="4"/>
    </font>
    <font>
      <b/>
      <sz val="14"/>
      <color indexed="10"/>
      <name val="Comic Sans MS"/>
      <family val="4"/>
    </font>
    <font>
      <sz val="11"/>
      <color indexed="12"/>
      <name val="Comic Sans MS"/>
      <family val="4"/>
    </font>
    <font>
      <sz val="18"/>
      <name val="Lucida Sans Unicode"/>
      <family val="2"/>
    </font>
    <font>
      <b/>
      <sz val="12"/>
      <color indexed="9"/>
      <name val="Comic Sans MS"/>
      <family val="4"/>
    </font>
    <font>
      <sz val="12"/>
      <color indexed="9"/>
      <name val="Comic Sans MS"/>
      <family val="4"/>
    </font>
    <font>
      <strike/>
      <sz val="12"/>
      <color indexed="9"/>
      <name val="Comic Sans MS"/>
      <family val="4"/>
    </font>
    <font>
      <b/>
      <strike/>
      <sz val="12"/>
      <color indexed="9"/>
      <name val="Comic Sans MS"/>
      <family val="4"/>
    </font>
    <font>
      <b/>
      <sz val="14"/>
      <color indexed="9"/>
      <name val="Comic Sans MS"/>
      <family val="4"/>
    </font>
    <font>
      <strike/>
      <sz val="11"/>
      <color indexed="9"/>
      <name val="Comic Sans MS"/>
      <family val="4"/>
    </font>
    <font>
      <sz val="10"/>
      <color indexed="22"/>
      <name val="Comic Sans MS"/>
      <family val="4"/>
    </font>
    <font>
      <sz val="10"/>
      <color indexed="10"/>
      <name val="Comic Sans MS"/>
      <family val="4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10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medium"/>
      <top style="double">
        <color indexed="8"/>
      </top>
      <bottom style="medium">
        <color indexed="8"/>
      </bottom>
    </border>
    <border>
      <left style="medium">
        <color indexed="8"/>
      </left>
      <right style="thin"/>
      <top style="double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>
        <color indexed="8"/>
      </left>
      <right style="thick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6" fillId="21" borderId="3" applyNumberFormat="0" applyFont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6" fillId="0" borderId="0" applyNumberFormat="0" applyFill="0" applyBorder="0" applyProtection="0">
      <alignment horizontal="left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260">
    <xf numFmtId="0" fontId="0" fillId="0" borderId="0" xfId="0" applyAlignment="1">
      <alignment/>
    </xf>
    <xf numFmtId="1" fontId="22" fillId="0" borderId="10" xfId="53" applyNumberFormat="1" applyFont="1" applyBorder="1" applyAlignment="1" applyProtection="1">
      <alignment horizontal="center" textRotation="90"/>
      <protection/>
    </xf>
    <xf numFmtId="0" fontId="22" fillId="0" borderId="11" xfId="53" applyFont="1" applyBorder="1" applyAlignment="1" applyProtection="1">
      <alignment horizontal="center" textRotation="90"/>
      <protection/>
    </xf>
    <xf numFmtId="0" fontId="22" fillId="0" borderId="12" xfId="53" applyFont="1" applyBorder="1" applyAlignment="1" applyProtection="1">
      <alignment horizontal="center" textRotation="90"/>
      <protection/>
    </xf>
    <xf numFmtId="0" fontId="22" fillId="0" borderId="13" xfId="53" applyFont="1" applyBorder="1" applyAlignment="1" applyProtection="1">
      <alignment horizontal="center" textRotation="90"/>
      <protection/>
    </xf>
    <xf numFmtId="0" fontId="0" fillId="0" borderId="14" xfId="53" applyFont="1" applyBorder="1" applyAlignment="1" applyProtection="1">
      <alignment horizontal="center" textRotation="90"/>
      <protection/>
    </xf>
    <xf numFmtId="0" fontId="0" fillId="0" borderId="12" xfId="53" applyFont="1" applyBorder="1" applyAlignment="1" applyProtection="1">
      <alignment horizontal="center" textRotation="90"/>
      <protection/>
    </xf>
    <xf numFmtId="1" fontId="24" fillId="0" borderId="15" xfId="53" applyNumberFormat="1" applyFont="1" applyBorder="1" applyAlignment="1" applyProtection="1">
      <alignment horizontal="center" textRotation="90"/>
      <protection/>
    </xf>
    <xf numFmtId="0" fontId="25" fillId="0" borderId="16" xfId="53" applyFont="1" applyBorder="1" applyAlignment="1" applyProtection="1">
      <alignment horizontal="center" vertical="center" textRotation="90"/>
      <protection/>
    </xf>
    <xf numFmtId="0" fontId="0" fillId="0" borderId="11" xfId="53" applyFont="1" applyBorder="1" applyAlignment="1" applyProtection="1">
      <alignment horizontal="center" textRotation="90"/>
      <protection/>
    </xf>
    <xf numFmtId="1" fontId="0" fillId="0" borderId="15" xfId="53" applyNumberFormat="1" applyFont="1" applyBorder="1" applyAlignment="1" applyProtection="1">
      <alignment horizontal="center" textRotation="90"/>
      <protection/>
    </xf>
    <xf numFmtId="0" fontId="26" fillId="0" borderId="15" xfId="53" applyFont="1" applyBorder="1" applyAlignment="1" applyProtection="1">
      <alignment horizontal="center" vertical="center" textRotation="90"/>
      <protection/>
    </xf>
    <xf numFmtId="0" fontId="27" fillId="0" borderId="17" xfId="53" applyFont="1" applyFill="1" applyBorder="1" applyAlignment="1" applyProtection="1">
      <alignment horizontal="center" vertical="center" textRotation="90"/>
      <protection/>
    </xf>
    <xf numFmtId="0" fontId="27" fillId="0" borderId="18" xfId="53" applyFont="1" applyFill="1" applyBorder="1" applyAlignment="1" applyProtection="1">
      <alignment horizontal="center" vertical="center" textRotation="90"/>
      <protection/>
    </xf>
    <xf numFmtId="1" fontId="0" fillId="24" borderId="19" xfId="53" applyNumberFormat="1" applyFont="1" applyFill="1" applyBorder="1" applyProtection="1">
      <alignment/>
      <protection/>
    </xf>
    <xf numFmtId="169" fontId="0" fillId="0" borderId="20" xfId="53" applyNumberFormat="1" applyFont="1" applyFill="1" applyBorder="1" applyProtection="1">
      <alignment/>
      <protection/>
    </xf>
    <xf numFmtId="169" fontId="0" fillId="0" borderId="20" xfId="53" applyNumberFormat="1" applyFont="1" applyBorder="1" applyProtection="1">
      <alignment/>
      <protection/>
    </xf>
    <xf numFmtId="169" fontId="0" fillId="24" borderId="21" xfId="53" applyNumberFormat="1" applyFont="1" applyFill="1" applyBorder="1" applyProtection="1">
      <alignment/>
      <protection/>
    </xf>
    <xf numFmtId="1" fontId="0" fillId="0" borderId="20" xfId="53" applyNumberFormat="1" applyFont="1" applyBorder="1" applyProtection="1">
      <alignment/>
      <protection/>
    </xf>
    <xf numFmtId="1" fontId="0" fillId="24" borderId="20" xfId="53" applyNumberFormat="1" applyFont="1" applyFill="1" applyBorder="1" applyProtection="1">
      <alignment/>
      <protection/>
    </xf>
    <xf numFmtId="1" fontId="0" fillId="0" borderId="22" xfId="53" applyNumberFormat="1" applyFont="1" applyBorder="1" applyProtection="1">
      <alignment/>
      <protection/>
    </xf>
    <xf numFmtId="1" fontId="33" fillId="25" borderId="23" xfId="53" applyNumberFormat="1" applyFont="1" applyFill="1" applyBorder="1" applyAlignment="1" applyProtection="1">
      <alignment horizontal="center" vertical="center"/>
      <protection/>
    </xf>
    <xf numFmtId="0" fontId="33" fillId="25" borderId="24" xfId="53" applyFont="1" applyFill="1" applyBorder="1" applyAlignment="1" applyProtection="1">
      <alignment horizontal="center" vertical="center"/>
      <protection/>
    </xf>
    <xf numFmtId="0" fontId="34" fillId="25" borderId="24" xfId="53" applyFont="1" applyFill="1" applyBorder="1" applyAlignment="1" applyProtection="1">
      <alignment horizontal="center" vertical="center"/>
      <protection/>
    </xf>
    <xf numFmtId="0" fontId="0" fillId="25" borderId="24" xfId="53" applyFont="1" applyFill="1" applyBorder="1" applyAlignment="1" applyProtection="1">
      <alignment horizontal="center" vertical="center"/>
      <protection/>
    </xf>
    <xf numFmtId="0" fontId="0" fillId="0" borderId="0" xfId="53" applyFont="1" applyAlignment="1" applyProtection="1">
      <alignment horizontal="center" vertical="center"/>
      <protection/>
    </xf>
    <xf numFmtId="192" fontId="0" fillId="0" borderId="0" xfId="53" applyNumberFormat="1" applyFont="1" applyAlignment="1" applyProtection="1">
      <alignment horizontal="center" vertical="center"/>
      <protection/>
    </xf>
    <xf numFmtId="0" fontId="0" fillId="0" borderId="0" xfId="53" applyFont="1" applyAlignment="1" applyProtection="1">
      <alignment horizontal="center"/>
      <protection/>
    </xf>
    <xf numFmtId="192" fontId="0" fillId="0" borderId="0" xfId="53" applyNumberFormat="1" applyFont="1" applyAlignment="1" applyProtection="1">
      <alignment horizontal="center"/>
      <protection/>
    </xf>
    <xf numFmtId="0" fontId="0" fillId="0" borderId="0" xfId="53" applyFont="1" applyAlignment="1" applyProtection="1">
      <alignment horizontal="center" textRotation="90"/>
      <protection/>
    </xf>
    <xf numFmtId="0" fontId="0" fillId="0" borderId="0" xfId="53" applyFont="1" applyProtection="1">
      <alignment/>
      <protection/>
    </xf>
    <xf numFmtId="192" fontId="0" fillId="0" borderId="0" xfId="53" applyNumberFormat="1" applyFont="1" applyProtection="1">
      <alignment/>
      <protection/>
    </xf>
    <xf numFmtId="0" fontId="0" fillId="0" borderId="25" xfId="53" applyFont="1" applyBorder="1" applyProtection="1">
      <alignment/>
      <protection/>
    </xf>
    <xf numFmtId="0" fontId="0" fillId="0" borderId="26" xfId="53" applyFont="1" applyBorder="1" applyProtection="1">
      <alignment/>
      <protection/>
    </xf>
    <xf numFmtId="0" fontId="0" fillId="0" borderId="27" xfId="53" applyFont="1" applyBorder="1" applyAlignment="1" applyProtection="1">
      <alignment horizontal="center"/>
      <protection/>
    </xf>
    <xf numFmtId="0" fontId="0" fillId="21" borderId="26" xfId="53" applyFont="1" applyFill="1" applyBorder="1" applyProtection="1">
      <alignment/>
      <protection/>
    </xf>
    <xf numFmtId="0" fontId="0" fillId="21" borderId="27" xfId="53" applyFont="1" applyFill="1" applyBorder="1" applyAlignment="1" applyProtection="1">
      <alignment horizontal="center"/>
      <protection/>
    </xf>
    <xf numFmtId="1" fontId="0" fillId="0" borderId="0" xfId="53" applyNumberFormat="1" applyFont="1" applyProtection="1">
      <alignment/>
      <protection/>
    </xf>
    <xf numFmtId="0" fontId="0" fillId="25" borderId="28" xfId="53" applyFont="1" applyFill="1" applyBorder="1" applyAlignment="1" applyProtection="1">
      <alignment horizontal="center" vertical="center"/>
      <protection/>
    </xf>
    <xf numFmtId="175" fontId="0" fillId="25" borderId="29" xfId="53" applyNumberFormat="1" applyFont="1" applyFill="1" applyBorder="1" applyAlignment="1" applyProtection="1">
      <alignment horizontal="center" vertical="center"/>
      <protection/>
    </xf>
    <xf numFmtId="0" fontId="0" fillId="0" borderId="29" xfId="53" applyFont="1" applyBorder="1" applyAlignment="1" applyProtection="1">
      <alignment vertical="center"/>
      <protection/>
    </xf>
    <xf numFmtId="0" fontId="35" fillId="0" borderId="29" xfId="53" applyFont="1" applyBorder="1" applyAlignment="1" applyProtection="1">
      <alignment horizontal="center" vertical="center"/>
      <protection/>
    </xf>
    <xf numFmtId="0" fontId="36" fillId="0" borderId="29" xfId="53" applyFont="1" applyBorder="1" applyAlignment="1" applyProtection="1">
      <alignment horizontal="center" vertical="center"/>
      <protection/>
    </xf>
    <xf numFmtId="0" fontId="37" fillId="0" borderId="30" xfId="53" applyFont="1" applyBorder="1" applyAlignment="1" applyProtection="1">
      <alignment horizontal="center" vertical="center"/>
      <protection/>
    </xf>
    <xf numFmtId="0" fontId="0" fillId="0" borderId="0" xfId="53" applyFont="1" applyFill="1" applyAlignment="1" applyProtection="1">
      <alignment vertical="center"/>
      <protection/>
    </xf>
    <xf numFmtId="0" fontId="6" fillId="0" borderId="0" xfId="53" applyProtection="1">
      <alignment/>
      <protection/>
    </xf>
    <xf numFmtId="0" fontId="0" fillId="0" borderId="0" xfId="53" applyFont="1" applyAlignment="1" applyProtection="1">
      <alignment vertical="center"/>
      <protection/>
    </xf>
    <xf numFmtId="0" fontId="0" fillId="22" borderId="31" xfId="0" applyFill="1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0" fontId="0" fillId="26" borderId="32" xfId="53" applyFont="1" applyFill="1" applyBorder="1" applyAlignment="1" applyProtection="1">
      <alignment horizontal="center" vertical="center" textRotation="90"/>
      <protection/>
    </xf>
    <xf numFmtId="0" fontId="0" fillId="26" borderId="33" xfId="53" applyFont="1" applyFill="1" applyBorder="1" applyAlignment="1" applyProtection="1">
      <alignment horizontal="center" vertical="center"/>
      <protection/>
    </xf>
    <xf numFmtId="0" fontId="0" fillId="26" borderId="34" xfId="53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31" xfId="0" applyNumberFormat="1" applyBorder="1" applyAlignment="1" applyProtection="1">
      <alignment vertical="center"/>
      <protection/>
    </xf>
    <xf numFmtId="0" fontId="0" fillId="26" borderId="36" xfId="53" applyFont="1" applyFill="1" applyBorder="1" applyAlignment="1" applyProtection="1">
      <alignment horizontal="center" vertical="center"/>
      <protection/>
    </xf>
    <xf numFmtId="0" fontId="0" fillId="26" borderId="37" xfId="53" applyFont="1" applyFill="1" applyBorder="1" applyAlignment="1" applyProtection="1">
      <alignment vertical="center"/>
      <protection/>
    </xf>
    <xf numFmtId="0" fontId="0" fillId="26" borderId="0" xfId="53" applyFont="1" applyFill="1" applyBorder="1" applyAlignment="1" applyProtection="1">
      <alignment vertical="center"/>
      <protection/>
    </xf>
    <xf numFmtId="0" fontId="0" fillId="26" borderId="38" xfId="53" applyFont="1" applyFill="1" applyBorder="1" applyAlignment="1" applyProtection="1">
      <alignment vertical="center"/>
      <protection/>
    </xf>
    <xf numFmtId="0" fontId="0" fillId="26" borderId="39" xfId="53" applyFont="1" applyFill="1" applyBorder="1" applyAlignment="1" applyProtection="1">
      <alignment vertical="center"/>
      <protection/>
    </xf>
    <xf numFmtId="0" fontId="0" fillId="0" borderId="40" xfId="0" applyBorder="1" applyAlignment="1" applyProtection="1">
      <alignment vertical="center"/>
      <protection/>
    </xf>
    <xf numFmtId="0" fontId="0" fillId="0" borderId="38" xfId="0" applyBorder="1" applyAlignment="1" applyProtection="1">
      <alignment vertical="center"/>
      <protection/>
    </xf>
    <xf numFmtId="0" fontId="0" fillId="0" borderId="41" xfId="0" applyNumberFormat="1" applyBorder="1" applyAlignment="1" applyProtection="1">
      <alignment vertical="center"/>
      <protection/>
    </xf>
    <xf numFmtId="2" fontId="0" fillId="0" borderId="0" xfId="53" applyNumberFormat="1" applyFont="1" applyAlignment="1" applyProtection="1">
      <alignment vertical="center"/>
      <protection/>
    </xf>
    <xf numFmtId="0" fontId="40" fillId="0" borderId="0" xfId="53" applyFont="1" applyAlignment="1">
      <alignment vertical="center"/>
      <protection/>
    </xf>
    <xf numFmtId="0" fontId="46" fillId="0" borderId="0" xfId="53" applyFont="1" applyAlignment="1" applyProtection="1">
      <alignment horizontal="center" vertical="center"/>
      <protection/>
    </xf>
    <xf numFmtId="0" fontId="40" fillId="0" borderId="0" xfId="53" applyFont="1" applyAlignment="1">
      <alignment horizontal="left" vertical="center"/>
      <protection/>
    </xf>
    <xf numFmtId="0" fontId="39" fillId="0" borderId="42" xfId="53" applyFont="1" applyFill="1" applyBorder="1" applyAlignment="1">
      <alignment vertical="center"/>
      <protection/>
    </xf>
    <xf numFmtId="0" fontId="48" fillId="0" borderId="43" xfId="53" applyFont="1" applyFill="1" applyBorder="1" applyAlignment="1">
      <alignment vertical="top" wrapText="1"/>
      <protection/>
    </xf>
    <xf numFmtId="2" fontId="0" fillId="25" borderId="29" xfId="53" applyNumberFormat="1" applyFont="1" applyFill="1" applyBorder="1" applyAlignment="1" applyProtection="1">
      <alignment horizontal="center" vertical="center"/>
      <protection/>
    </xf>
    <xf numFmtId="0" fontId="21" fillId="25" borderId="44" xfId="53" applyFont="1" applyFill="1" applyBorder="1" applyAlignment="1" applyProtection="1">
      <alignment horizontal="center" vertical="center" textRotation="90" wrapText="1"/>
      <protection/>
    </xf>
    <xf numFmtId="0" fontId="21" fillId="25" borderId="31" xfId="53" applyFont="1" applyFill="1" applyBorder="1" applyAlignment="1" applyProtection="1">
      <alignment horizontal="center" vertical="center" textRotation="90" wrapText="1"/>
      <protection/>
    </xf>
    <xf numFmtId="0" fontId="21" fillId="25" borderId="45" xfId="53" applyFont="1" applyFill="1" applyBorder="1" applyAlignment="1" applyProtection="1">
      <alignment horizontal="center" vertical="center" textRotation="90" wrapText="1"/>
      <protection/>
    </xf>
    <xf numFmtId="192" fontId="27" fillId="0" borderId="46" xfId="53" applyNumberFormat="1" applyFont="1" applyFill="1" applyBorder="1" applyAlignment="1" applyProtection="1">
      <alignment horizontal="center" vertical="center" textRotation="90"/>
      <protection/>
    </xf>
    <xf numFmtId="0" fontId="0" fillId="21" borderId="47" xfId="53" applyFont="1" applyFill="1" applyBorder="1" applyProtection="1">
      <alignment/>
      <protection/>
    </xf>
    <xf numFmtId="0" fontId="0" fillId="21" borderId="48" xfId="53" applyFont="1" applyFill="1" applyBorder="1" applyProtection="1">
      <alignment/>
      <protection/>
    </xf>
    <xf numFmtId="0" fontId="0" fillId="21" borderId="49" xfId="53" applyFont="1" applyFill="1" applyBorder="1" applyAlignment="1" applyProtection="1">
      <alignment horizontal="center"/>
      <protection/>
    </xf>
    <xf numFmtId="0" fontId="21" fillId="0" borderId="50" xfId="53" applyFont="1" applyFill="1" applyBorder="1" applyAlignment="1" applyProtection="1">
      <alignment horizontal="left"/>
      <protection/>
    </xf>
    <xf numFmtId="0" fontId="21" fillId="0" borderId="27" xfId="53" applyFont="1" applyFill="1" applyBorder="1" applyAlignment="1" applyProtection="1">
      <alignment horizontal="left"/>
      <protection/>
    </xf>
    <xf numFmtId="0" fontId="21" fillId="0" borderId="27" xfId="53" applyFont="1" applyFill="1" applyBorder="1" applyProtection="1">
      <alignment/>
      <protection/>
    </xf>
    <xf numFmtId="0" fontId="21" fillId="22" borderId="48" xfId="53" applyFont="1" applyFill="1" applyBorder="1" applyProtection="1">
      <alignment/>
      <protection/>
    </xf>
    <xf numFmtId="0" fontId="21" fillId="22" borderId="49" xfId="53" applyFont="1" applyFill="1" applyBorder="1" applyAlignment="1" applyProtection="1">
      <alignment horizontal="left"/>
      <protection/>
    </xf>
    <xf numFmtId="0" fontId="21" fillId="22" borderId="49" xfId="53" applyFont="1" applyFill="1" applyBorder="1" applyProtection="1">
      <alignment/>
      <protection/>
    </xf>
    <xf numFmtId="0" fontId="21" fillId="22" borderId="50" xfId="53" applyFont="1" applyFill="1" applyBorder="1" applyAlignment="1" applyProtection="1">
      <alignment horizontal="left"/>
      <protection/>
    </xf>
    <xf numFmtId="0" fontId="21" fillId="22" borderId="27" xfId="53" applyFont="1" applyFill="1" applyBorder="1" applyAlignment="1" applyProtection="1">
      <alignment horizontal="left"/>
      <protection/>
    </xf>
    <xf numFmtId="0" fontId="21" fillId="22" borderId="27" xfId="53" applyFont="1" applyFill="1" applyBorder="1" applyProtection="1">
      <alignment/>
      <protection/>
    </xf>
    <xf numFmtId="0" fontId="21" fillId="0" borderId="26" xfId="53" applyFont="1" applyBorder="1" applyProtection="1">
      <alignment/>
      <protection/>
    </xf>
    <xf numFmtId="0" fontId="21" fillId="0" borderId="27" xfId="53" applyFont="1" applyBorder="1" applyAlignment="1" applyProtection="1">
      <alignment horizontal="left"/>
      <protection/>
    </xf>
    <xf numFmtId="0" fontId="21" fillId="0" borderId="27" xfId="53" applyFont="1" applyBorder="1" applyProtection="1">
      <alignment/>
      <protection/>
    </xf>
    <xf numFmtId="0" fontId="0" fillId="21" borderId="25" xfId="53" applyFont="1" applyFill="1" applyBorder="1" applyProtection="1">
      <alignment/>
      <protection/>
    </xf>
    <xf numFmtId="0" fontId="21" fillId="22" borderId="51" xfId="53" applyFont="1" applyFill="1" applyBorder="1" applyProtection="1">
      <alignment/>
      <protection/>
    </xf>
    <xf numFmtId="0" fontId="21" fillId="0" borderId="51" xfId="53" applyFont="1" applyBorder="1" applyProtection="1">
      <alignment/>
      <protection/>
    </xf>
    <xf numFmtId="0" fontId="0" fillId="0" borderId="52" xfId="53" applyFont="1" applyBorder="1" applyProtection="1">
      <alignment/>
      <protection/>
    </xf>
    <xf numFmtId="0" fontId="0" fillId="0" borderId="53" xfId="53" applyFont="1" applyBorder="1" applyAlignment="1" applyProtection="1">
      <alignment horizontal="center"/>
      <protection/>
    </xf>
    <xf numFmtId="0" fontId="21" fillId="0" borderId="54" xfId="53" applyFont="1" applyBorder="1" applyProtection="1">
      <alignment/>
      <protection/>
    </xf>
    <xf numFmtId="0" fontId="21" fillId="0" borderId="53" xfId="53" applyFont="1" applyBorder="1" applyAlignment="1" applyProtection="1">
      <alignment horizontal="left"/>
      <protection/>
    </xf>
    <xf numFmtId="0" fontId="21" fillId="0" borderId="53" xfId="53" applyFont="1" applyBorder="1" applyProtection="1">
      <alignment/>
      <protection/>
    </xf>
    <xf numFmtId="0" fontId="21" fillId="0" borderId="0" xfId="53" applyFont="1" applyAlignment="1" applyProtection="1">
      <alignment horizontal="left"/>
      <protection/>
    </xf>
    <xf numFmtId="0" fontId="21" fillId="0" borderId="0" xfId="53" applyFont="1" applyProtection="1">
      <alignment/>
      <protection/>
    </xf>
    <xf numFmtId="2" fontId="0" fillId="25" borderId="29" xfId="53" applyNumberFormat="1" applyFont="1" applyFill="1" applyBorder="1" applyAlignment="1" applyProtection="1">
      <alignment horizontal="left" vertical="center"/>
      <protection/>
    </xf>
    <xf numFmtId="0" fontId="21" fillId="25" borderId="29" xfId="53" applyFont="1" applyFill="1" applyBorder="1" applyAlignment="1" applyProtection="1">
      <alignment horizontal="center" vertical="center"/>
      <protection/>
    </xf>
    <xf numFmtId="0" fontId="21" fillId="25" borderId="28" xfId="53" applyFont="1" applyFill="1" applyBorder="1" applyAlignment="1" applyProtection="1">
      <alignment horizontal="center" vertical="center"/>
      <protection/>
    </xf>
    <xf numFmtId="0" fontId="0" fillId="26" borderId="55" xfId="53" applyFont="1" applyFill="1" applyBorder="1" applyAlignment="1" applyProtection="1">
      <alignment horizontal="center" vertical="center"/>
      <protection/>
    </xf>
    <xf numFmtId="0" fontId="0" fillId="26" borderId="56" xfId="53" applyFont="1" applyFill="1" applyBorder="1" applyAlignment="1" applyProtection="1">
      <alignment horizontal="center" vertical="center"/>
      <protection/>
    </xf>
    <xf numFmtId="0" fontId="25" fillId="26" borderId="57" xfId="53" applyFont="1" applyFill="1" applyBorder="1" applyAlignment="1" applyProtection="1">
      <alignment horizontal="center" vertical="center" textRotation="90"/>
      <protection/>
    </xf>
    <xf numFmtId="0" fontId="25" fillId="26" borderId="58" xfId="53" applyFont="1" applyFill="1" applyBorder="1" applyAlignment="1" applyProtection="1">
      <alignment horizontal="center" vertical="center" textRotation="90"/>
      <protection/>
    </xf>
    <xf numFmtId="0" fontId="0" fillId="26" borderId="59" xfId="53" applyFont="1" applyFill="1" applyBorder="1" applyAlignment="1" applyProtection="1">
      <alignment horizontal="center" vertical="center"/>
      <protection/>
    </xf>
    <xf numFmtId="0" fontId="0" fillId="26" borderId="60" xfId="53" applyFont="1" applyFill="1" applyBorder="1" applyAlignment="1" applyProtection="1">
      <alignment horizontal="center" vertical="center"/>
      <protection/>
    </xf>
    <xf numFmtId="172" fontId="0" fillId="26" borderId="20" xfId="53" applyNumberFormat="1" applyFont="1" applyFill="1" applyBorder="1" applyAlignment="1" applyProtection="1">
      <alignment vertical="center"/>
      <protection/>
    </xf>
    <xf numFmtId="172" fontId="0" fillId="26" borderId="61" xfId="53" applyNumberFormat="1" applyFont="1" applyFill="1" applyBorder="1" applyAlignment="1" applyProtection="1">
      <alignment vertical="center"/>
      <protection/>
    </xf>
    <xf numFmtId="0" fontId="6" fillId="0" borderId="0" xfId="53" applyFont="1" applyProtection="1">
      <alignment/>
      <protection/>
    </xf>
    <xf numFmtId="0" fontId="22" fillId="0" borderId="0" xfId="53" applyFont="1" applyAlignment="1">
      <alignment horizontal="center"/>
      <protection/>
    </xf>
    <xf numFmtId="0" fontId="0" fillId="0" borderId="0" xfId="53" applyFont="1">
      <alignment/>
      <protection/>
    </xf>
    <xf numFmtId="0" fontId="23" fillId="4" borderId="0" xfId="53" applyFont="1" applyFill="1" applyAlignment="1" applyProtection="1">
      <alignment horizontal="center" vertical="center"/>
      <protection locked="0"/>
    </xf>
    <xf numFmtId="0" fontId="45" fillId="0" borderId="0" xfId="53" applyNumberFormat="1" applyFont="1" applyAlignment="1">
      <alignment horizontal="center" vertical="center"/>
      <protection/>
    </xf>
    <xf numFmtId="0" fontId="52" fillId="0" borderId="0" xfId="53" applyFont="1" applyBorder="1" applyAlignment="1">
      <alignment/>
      <protection/>
    </xf>
    <xf numFmtId="0" fontId="0" fillId="0" borderId="0" xfId="53" applyFont="1" applyAlignment="1">
      <alignment horizontal="left"/>
      <protection/>
    </xf>
    <xf numFmtId="0" fontId="41" fillId="0" borderId="0" xfId="53" applyFont="1" applyAlignment="1">
      <alignment horizontal="center"/>
      <protection/>
    </xf>
    <xf numFmtId="0" fontId="47" fillId="0" borderId="0" xfId="53" applyFont="1" applyBorder="1" applyAlignment="1">
      <alignment vertical="top"/>
      <protection/>
    </xf>
    <xf numFmtId="0" fontId="39" fillId="0" borderId="62" xfId="53" applyFont="1" applyBorder="1" applyAlignment="1">
      <alignment horizontal="left"/>
      <protection/>
    </xf>
    <xf numFmtId="2" fontId="39" fillId="0" borderId="0" xfId="53" applyNumberFormat="1" applyFont="1">
      <alignment/>
      <protection/>
    </xf>
    <xf numFmtId="173" fontId="39" fillId="0" borderId="0" xfId="53" applyNumberFormat="1" applyFont="1" applyAlignment="1">
      <alignment horizontal="left"/>
      <protection/>
    </xf>
    <xf numFmtId="0" fontId="45" fillId="0" borderId="0" xfId="53" applyFont="1" applyBorder="1" applyAlignment="1">
      <alignment vertical="center"/>
      <protection/>
    </xf>
    <xf numFmtId="0" fontId="39" fillId="0" borderId="63" xfId="53" applyFont="1" applyBorder="1" applyAlignment="1">
      <alignment horizontal="left"/>
      <protection/>
    </xf>
    <xf numFmtId="0" fontId="28" fillId="0" borderId="0" xfId="53" applyFont="1" applyAlignment="1">
      <alignment vertical="center"/>
      <protection/>
    </xf>
    <xf numFmtId="2" fontId="42" fillId="4" borderId="38" xfId="53" applyNumberFormat="1" applyFont="1" applyFill="1" applyBorder="1" applyAlignment="1">
      <alignment horizontal="right" vertical="center"/>
      <protection/>
    </xf>
    <xf numFmtId="173" fontId="42" fillId="0" borderId="64" xfId="53" applyNumberFormat="1" applyFont="1" applyBorder="1" applyAlignment="1">
      <alignment horizontal="left" vertical="center"/>
      <protection/>
    </xf>
    <xf numFmtId="0" fontId="40" fillId="0" borderId="0" xfId="53" applyFont="1" applyAlignment="1">
      <alignment horizontal="left"/>
      <protection/>
    </xf>
    <xf numFmtId="0" fontId="0" fillId="0" borderId="0" xfId="53" applyFont="1" applyBorder="1" applyAlignment="1">
      <alignment/>
      <protection/>
    </xf>
    <xf numFmtId="0" fontId="45" fillId="0" borderId="54" xfId="53" applyFont="1" applyBorder="1" applyAlignment="1">
      <alignment vertical="center" wrapText="1"/>
      <protection/>
    </xf>
    <xf numFmtId="182" fontId="39" fillId="0" borderId="65" xfId="53" applyNumberFormat="1" applyFont="1" applyBorder="1" applyAlignment="1">
      <alignment horizontal="center"/>
      <protection/>
    </xf>
    <xf numFmtId="0" fontId="41" fillId="4" borderId="38" xfId="53" applyFont="1" applyFill="1" applyBorder="1" applyAlignment="1">
      <alignment horizontal="center"/>
      <protection/>
    </xf>
    <xf numFmtId="182" fontId="39" fillId="0" borderId="64" xfId="53" applyNumberFormat="1" applyFont="1" applyBorder="1" applyAlignment="1">
      <alignment horizontal="center"/>
      <protection/>
    </xf>
    <xf numFmtId="0" fontId="39" fillId="0" borderId="66" xfId="53" applyFont="1" applyBorder="1" applyAlignment="1">
      <alignment horizontal="left"/>
      <protection/>
    </xf>
    <xf numFmtId="0" fontId="28" fillId="0" borderId="0" xfId="53" applyFont="1" applyAlignment="1">
      <alignment horizontal="left" vertical="center"/>
      <protection/>
    </xf>
    <xf numFmtId="0" fontId="54" fillId="0" borderId="0" xfId="53" applyFont="1" applyAlignment="1">
      <alignment horizontal="left"/>
      <protection/>
    </xf>
    <xf numFmtId="0" fontId="55" fillId="0" borderId="0" xfId="53" applyFont="1" applyAlignment="1">
      <alignment/>
      <protection/>
    </xf>
    <xf numFmtId="0" fontId="56" fillId="0" borderId="0" xfId="53" applyFont="1" applyAlignment="1">
      <alignment horizontal="center"/>
      <protection/>
    </xf>
    <xf numFmtId="2" fontId="57" fillId="0" borderId="0" xfId="53" applyNumberFormat="1" applyFont="1" applyBorder="1" applyAlignment="1">
      <alignment horizontal="center"/>
      <protection/>
    </xf>
    <xf numFmtId="2" fontId="56" fillId="0" borderId="0" xfId="53" applyNumberFormat="1" applyFont="1" applyBorder="1" applyAlignment="1">
      <alignment horizontal="center"/>
      <protection/>
    </xf>
    <xf numFmtId="0" fontId="57" fillId="0" borderId="0" xfId="53" applyFont="1" applyAlignment="1">
      <alignment horizontal="center"/>
      <protection/>
    </xf>
    <xf numFmtId="0" fontId="59" fillId="0" borderId="0" xfId="53" applyFont="1">
      <alignment/>
      <protection/>
    </xf>
    <xf numFmtId="2" fontId="55" fillId="0" borderId="0" xfId="53" applyNumberFormat="1" applyFont="1" applyAlignment="1">
      <alignment vertical="center"/>
      <protection/>
    </xf>
    <xf numFmtId="173" fontId="43" fillId="0" borderId="0" xfId="53" applyNumberFormat="1" applyFont="1" applyAlignment="1">
      <alignment horizontal="left" vertical="center"/>
      <protection/>
    </xf>
    <xf numFmtId="173" fontId="42" fillId="0" borderId="64" xfId="53" applyNumberFormat="1" applyFont="1" applyBorder="1" applyAlignment="1">
      <alignment horizontal="left"/>
      <protection/>
    </xf>
    <xf numFmtId="0" fontId="28" fillId="0" borderId="0" xfId="53" applyFont="1" applyAlignment="1">
      <alignment horizontal="center" vertical="center"/>
      <protection/>
    </xf>
    <xf numFmtId="2" fontId="28" fillId="4" borderId="28" xfId="53" applyNumberFormat="1" applyFont="1" applyFill="1" applyBorder="1" applyAlignment="1">
      <alignment vertical="center"/>
      <protection/>
    </xf>
    <xf numFmtId="173" fontId="28" fillId="4" borderId="30" xfId="53" applyNumberFormat="1" applyFont="1" applyFill="1" applyBorder="1" applyAlignment="1">
      <alignment horizontal="left" vertical="center"/>
      <protection/>
    </xf>
    <xf numFmtId="169" fontId="0" fillId="0" borderId="35" xfId="0" applyNumberFormat="1" applyBorder="1" applyAlignment="1" applyProtection="1">
      <alignment vertical="center"/>
      <protection/>
    </xf>
    <xf numFmtId="169" fontId="0" fillId="0" borderId="38" xfId="0" applyNumberFormat="1" applyBorder="1" applyAlignment="1" applyProtection="1">
      <alignment vertical="center"/>
      <protection/>
    </xf>
    <xf numFmtId="0" fontId="27" fillId="0" borderId="67" xfId="53" applyFont="1" applyFill="1" applyBorder="1" applyAlignment="1" applyProtection="1">
      <alignment horizontal="center" vertical="center" textRotation="90"/>
      <protection/>
    </xf>
    <xf numFmtId="0" fontId="27" fillId="0" borderId="68" xfId="53" applyFont="1" applyFill="1" applyBorder="1" applyAlignment="1" applyProtection="1">
      <alignment horizontal="center" vertical="center" textRotation="90"/>
      <protection/>
    </xf>
    <xf numFmtId="0" fontId="0" fillId="25" borderId="29" xfId="53" applyFont="1" applyFill="1" applyBorder="1" applyAlignment="1" applyProtection="1">
      <alignment horizontal="left" vertical="center"/>
      <protection/>
    </xf>
    <xf numFmtId="0" fontId="0" fillId="25" borderId="29" xfId="53" applyFont="1" applyFill="1" applyBorder="1" applyAlignment="1" applyProtection="1">
      <alignment horizontal="center" vertical="center"/>
      <protection/>
    </xf>
    <xf numFmtId="175" fontId="0" fillId="25" borderId="30" xfId="53" applyNumberFormat="1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22" borderId="69" xfId="0" applyFill="1" applyBorder="1" applyAlignment="1" applyProtection="1">
      <alignment vertical="center"/>
      <protection/>
    </xf>
    <xf numFmtId="0" fontId="37" fillId="25" borderId="70" xfId="53" applyFont="1" applyFill="1" applyBorder="1" applyAlignment="1" applyProtection="1">
      <alignment horizontal="right" vertical="center"/>
      <protection/>
    </xf>
    <xf numFmtId="0" fontId="37" fillId="25" borderId="71" xfId="53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  <xf numFmtId="0" fontId="0" fillId="26" borderId="72" xfId="53" applyFont="1" applyFill="1" applyBorder="1" applyAlignment="1" applyProtection="1">
      <alignment horizontal="center" vertical="center" textRotation="90"/>
      <protection/>
    </xf>
    <xf numFmtId="0" fontId="6" fillId="0" borderId="0" xfId="53" applyAlignment="1" applyProtection="1">
      <alignment horizontal="center"/>
      <protection/>
    </xf>
    <xf numFmtId="0" fontId="0" fillId="0" borderId="0" xfId="53" applyFont="1" applyFill="1" applyAlignment="1" applyProtection="1">
      <alignment horizontal="center" vertical="center"/>
      <protection/>
    </xf>
    <xf numFmtId="0" fontId="0" fillId="26" borderId="73" xfId="53" applyFont="1" applyFill="1" applyBorder="1" applyAlignment="1" applyProtection="1">
      <alignment horizontal="center" vertical="center"/>
      <protection/>
    </xf>
    <xf numFmtId="0" fontId="0" fillId="26" borderId="74" xfId="53" applyFont="1" applyFill="1" applyBorder="1" applyAlignment="1" applyProtection="1">
      <alignment vertical="center"/>
      <protection/>
    </xf>
    <xf numFmtId="0" fontId="0" fillId="26" borderId="0" xfId="53" applyFont="1" applyFill="1" applyAlignment="1" applyProtection="1">
      <alignment vertical="center"/>
      <protection/>
    </xf>
    <xf numFmtId="0" fontId="0" fillId="26" borderId="75" xfId="53" applyFont="1" applyFill="1" applyBorder="1" applyAlignment="1" applyProtection="1">
      <alignment horizontal="center" vertical="center"/>
      <protection/>
    </xf>
    <xf numFmtId="0" fontId="0" fillId="26" borderId="76" xfId="53" applyFont="1" applyFill="1" applyBorder="1" applyAlignment="1" applyProtection="1">
      <alignment vertical="center"/>
      <protection/>
    </xf>
    <xf numFmtId="0" fontId="0" fillId="0" borderId="70" xfId="0" applyBorder="1" applyAlignment="1" applyProtection="1">
      <alignment vertical="center"/>
      <protection/>
    </xf>
    <xf numFmtId="0" fontId="0" fillId="0" borderId="77" xfId="0" applyNumberFormat="1" applyBorder="1" applyAlignment="1" applyProtection="1">
      <alignment vertical="center"/>
      <protection/>
    </xf>
    <xf numFmtId="0" fontId="0" fillId="0" borderId="78" xfId="0" applyBorder="1" applyAlignment="1" applyProtection="1">
      <alignment vertical="center"/>
      <protection/>
    </xf>
    <xf numFmtId="0" fontId="37" fillId="0" borderId="0" xfId="53" applyFont="1" applyAlignment="1" applyProtection="1">
      <alignment horizontal="center" vertical="center"/>
      <protection/>
    </xf>
    <xf numFmtId="0" fontId="37" fillId="0" borderId="0" xfId="53" applyFont="1" applyAlignment="1" applyProtection="1">
      <alignment horizontal="center"/>
      <protection/>
    </xf>
    <xf numFmtId="0" fontId="37" fillId="0" borderId="0" xfId="53" applyFont="1" applyAlignment="1" applyProtection="1">
      <alignment horizontal="center" textRotation="90"/>
      <protection/>
    </xf>
    <xf numFmtId="0" fontId="37" fillId="0" borderId="0" xfId="53" applyFont="1" applyProtection="1">
      <alignment/>
      <protection/>
    </xf>
    <xf numFmtId="0" fontId="0" fillId="0" borderId="39" xfId="53" applyFont="1" applyFill="1" applyBorder="1" applyAlignment="1" applyProtection="1">
      <alignment horizontal="center" vertical="center"/>
      <protection/>
    </xf>
    <xf numFmtId="0" fontId="0" fillId="0" borderId="79" xfId="53" applyFont="1" applyFill="1" applyBorder="1" applyAlignment="1" applyProtection="1">
      <alignment horizontal="center" vertical="center"/>
      <protection/>
    </xf>
    <xf numFmtId="0" fontId="37" fillId="22" borderId="35" xfId="0" applyFont="1" applyFill="1" applyBorder="1" applyAlignment="1" applyProtection="1">
      <alignment horizontal="center" vertical="center"/>
      <protection/>
    </xf>
    <xf numFmtId="0" fontId="37" fillId="22" borderId="69" xfId="0" applyFont="1" applyFill="1" applyBorder="1" applyAlignment="1" applyProtection="1">
      <alignment horizontal="center" vertical="center"/>
      <protection/>
    </xf>
    <xf numFmtId="0" fontId="0" fillId="27" borderId="35" xfId="0" applyFont="1" applyFill="1" applyBorder="1" applyAlignment="1" applyProtection="1">
      <alignment horizontal="center" vertical="center" textRotation="90"/>
      <protection/>
    </xf>
    <xf numFmtId="0" fontId="0" fillId="25" borderId="35" xfId="0" applyFont="1" applyFill="1" applyBorder="1" applyAlignment="1" applyProtection="1">
      <alignment horizontal="center" vertical="center" textRotation="90"/>
      <protection/>
    </xf>
    <xf numFmtId="2" fontId="60" fillId="0" borderId="0" xfId="53" applyNumberFormat="1" applyFont="1">
      <alignment/>
      <protection/>
    </xf>
    <xf numFmtId="0" fontId="21" fillId="22" borderId="80" xfId="53" applyFont="1" applyFill="1" applyBorder="1" applyAlignment="1" applyProtection="1">
      <alignment horizontal="center" vertical="center"/>
      <protection/>
    </xf>
    <xf numFmtId="0" fontId="21" fillId="22" borderId="24" xfId="53" applyFont="1" applyFill="1" applyBorder="1" applyAlignment="1" applyProtection="1">
      <alignment horizontal="center" vertical="center"/>
      <protection/>
    </xf>
    <xf numFmtId="0" fontId="0" fillId="0" borderId="81" xfId="53" applyFont="1" applyBorder="1" applyAlignment="1" applyProtection="1">
      <alignment horizontal="center"/>
      <protection/>
    </xf>
    <xf numFmtId="0" fontId="0" fillId="0" borderId="82" xfId="53" applyFont="1" applyBorder="1" applyAlignment="1" applyProtection="1">
      <alignment horizontal="center"/>
      <protection/>
    </xf>
    <xf numFmtId="0" fontId="0" fillId="0" borderId="83" xfId="53" applyFont="1" applyBorder="1" applyAlignment="1" applyProtection="1">
      <alignment horizontal="center"/>
      <protection/>
    </xf>
    <xf numFmtId="0" fontId="0" fillId="25" borderId="84" xfId="53" applyFont="1" applyFill="1" applyBorder="1" applyAlignment="1" applyProtection="1">
      <alignment horizontal="center"/>
      <protection/>
    </xf>
    <xf numFmtId="0" fontId="0" fillId="25" borderId="82" xfId="53" applyFont="1" applyFill="1" applyBorder="1" applyAlignment="1" applyProtection="1">
      <alignment horizontal="center"/>
      <protection/>
    </xf>
    <xf numFmtId="0" fontId="0" fillId="25" borderId="85" xfId="53" applyFont="1" applyFill="1" applyBorder="1" applyAlignment="1" applyProtection="1">
      <alignment horizontal="center"/>
      <protection/>
    </xf>
    <xf numFmtId="0" fontId="33" fillId="25" borderId="24" xfId="53" applyFont="1" applyFill="1" applyBorder="1" applyAlignment="1" applyProtection="1">
      <alignment horizontal="center" vertical="center"/>
      <protection/>
    </xf>
    <xf numFmtId="167" fontId="33" fillId="25" borderId="24" xfId="53" applyNumberFormat="1" applyFont="1" applyFill="1" applyBorder="1" applyAlignment="1" applyProtection="1">
      <alignment horizontal="center" vertical="center"/>
      <protection/>
    </xf>
    <xf numFmtId="167" fontId="33" fillId="25" borderId="86" xfId="53" applyNumberFormat="1" applyFont="1" applyFill="1" applyBorder="1" applyAlignment="1" applyProtection="1">
      <alignment horizontal="center" vertical="center"/>
      <protection/>
    </xf>
    <xf numFmtId="0" fontId="22" fillId="0" borderId="81" xfId="53" applyFont="1" applyBorder="1" applyAlignment="1" applyProtection="1">
      <alignment horizontal="center"/>
      <protection/>
    </xf>
    <xf numFmtId="0" fontId="22" fillId="0" borderId="82" xfId="53" applyFont="1" applyBorder="1" applyAlignment="1" applyProtection="1">
      <alignment horizontal="center"/>
      <protection/>
    </xf>
    <xf numFmtId="0" fontId="22" fillId="0" borderId="83" xfId="53" applyFont="1" applyBorder="1" applyAlignment="1" applyProtection="1">
      <alignment horizontal="center"/>
      <protection/>
    </xf>
    <xf numFmtId="0" fontId="22" fillId="0" borderId="84" xfId="53" applyFont="1" applyBorder="1" applyAlignment="1" applyProtection="1">
      <alignment horizontal="center"/>
      <protection/>
    </xf>
    <xf numFmtId="0" fontId="0" fillId="0" borderId="84" xfId="53" applyFont="1" applyFill="1" applyBorder="1" applyAlignment="1" applyProtection="1">
      <alignment horizontal="center"/>
      <protection/>
    </xf>
    <xf numFmtId="0" fontId="0" fillId="0" borderId="82" xfId="53" applyFont="1" applyFill="1" applyBorder="1" applyAlignment="1" applyProtection="1">
      <alignment horizontal="center"/>
      <protection/>
    </xf>
    <xf numFmtId="0" fontId="0" fillId="0" borderId="84" xfId="53" applyFont="1" applyBorder="1" applyAlignment="1" applyProtection="1">
      <alignment horizontal="center"/>
      <protection/>
    </xf>
    <xf numFmtId="0" fontId="37" fillId="22" borderId="87" xfId="53" applyFont="1" applyFill="1" applyBorder="1" applyAlignment="1" applyProtection="1">
      <alignment horizontal="center" vertical="center"/>
      <protection/>
    </xf>
    <xf numFmtId="0" fontId="0" fillId="25" borderId="88" xfId="53" applyFont="1" applyFill="1" applyBorder="1" applyAlignment="1" applyProtection="1">
      <alignment horizontal="center" vertical="center"/>
      <protection/>
    </xf>
    <xf numFmtId="0" fontId="0" fillId="25" borderId="30" xfId="53" applyFont="1" applyFill="1" applyBorder="1" applyAlignment="1" applyProtection="1">
      <alignment horizontal="center" vertical="center"/>
      <protection/>
    </xf>
    <xf numFmtId="0" fontId="37" fillId="25" borderId="89" xfId="53" applyFont="1" applyFill="1" applyBorder="1" applyAlignment="1" applyProtection="1">
      <alignment horizontal="center" vertical="center"/>
      <protection/>
    </xf>
    <xf numFmtId="0" fontId="37" fillId="25" borderId="90" xfId="53" applyFont="1" applyFill="1" applyBorder="1" applyAlignment="1" applyProtection="1">
      <alignment horizontal="center" vertical="center"/>
      <protection/>
    </xf>
    <xf numFmtId="0" fontId="37" fillId="25" borderId="91" xfId="53" applyFont="1" applyFill="1" applyBorder="1" applyAlignment="1" applyProtection="1">
      <alignment horizontal="center" vertical="center"/>
      <protection/>
    </xf>
    <xf numFmtId="175" fontId="22" fillId="0" borderId="0" xfId="53" applyNumberFormat="1" applyFont="1" applyBorder="1" applyAlignment="1">
      <alignment horizontal="center" vertical="center"/>
      <protection/>
    </xf>
    <xf numFmtId="0" fontId="39" fillId="0" borderId="62" xfId="53" applyFont="1" applyBorder="1" applyAlignment="1">
      <alignment horizontal="left"/>
      <protection/>
    </xf>
    <xf numFmtId="0" fontId="0" fillId="0" borderId="0" xfId="53" applyFont="1" applyBorder="1" applyAlignment="1">
      <alignment horizontal="center"/>
      <protection/>
    </xf>
    <xf numFmtId="0" fontId="41" fillId="4" borderId="92" xfId="53" applyFont="1" applyFill="1" applyBorder="1" applyAlignment="1">
      <alignment horizontal="center" vertical="center"/>
      <protection/>
    </xf>
    <xf numFmtId="0" fontId="41" fillId="4" borderId="52" xfId="53" applyFont="1" applyFill="1" applyBorder="1" applyAlignment="1">
      <alignment horizontal="center" vertical="center"/>
      <protection/>
    </xf>
    <xf numFmtId="182" fontId="39" fillId="0" borderId="93" xfId="53" applyNumberFormat="1" applyFont="1" applyBorder="1" applyAlignment="1">
      <alignment horizontal="center" vertical="center"/>
      <protection/>
    </xf>
    <xf numFmtId="182" fontId="39" fillId="0" borderId="94" xfId="53" applyNumberFormat="1" applyFont="1" applyBorder="1" applyAlignment="1">
      <alignment horizontal="center" vertical="center"/>
      <protection/>
    </xf>
    <xf numFmtId="0" fontId="38" fillId="0" borderId="0" xfId="53" applyFont="1" applyBorder="1" applyAlignment="1">
      <alignment horizontal="center"/>
      <protection/>
    </xf>
    <xf numFmtId="0" fontId="47" fillId="0" borderId="92" xfId="53" applyFont="1" applyFill="1" applyBorder="1" applyAlignment="1">
      <alignment horizontal="left" vertical="center"/>
      <protection/>
    </xf>
    <xf numFmtId="0" fontId="47" fillId="0" borderId="95" xfId="53" applyFont="1" applyFill="1" applyBorder="1" applyAlignment="1">
      <alignment horizontal="left" vertical="center"/>
      <protection/>
    </xf>
    <xf numFmtId="0" fontId="47" fillId="0" borderId="96" xfId="53" applyFont="1" applyFill="1" applyBorder="1" applyAlignment="1">
      <alignment horizontal="left" vertical="center"/>
      <protection/>
    </xf>
    <xf numFmtId="0" fontId="28" fillId="0" borderId="97" xfId="53" applyFont="1" applyBorder="1" applyAlignment="1">
      <alignment horizontal="left" vertical="center"/>
      <protection/>
    </xf>
    <xf numFmtId="0" fontId="56" fillId="0" borderId="0" xfId="53" applyFont="1" applyBorder="1" applyAlignment="1">
      <alignment horizontal="left"/>
      <protection/>
    </xf>
    <xf numFmtId="0" fontId="54" fillId="0" borderId="62" xfId="53" applyFont="1" applyBorder="1" applyAlignment="1">
      <alignment horizontal="left" vertical="center"/>
      <protection/>
    </xf>
    <xf numFmtId="0" fontId="45" fillId="0" borderId="98" xfId="53" applyFont="1" applyFill="1" applyBorder="1" applyAlignment="1">
      <alignment horizontal="right" vertical="center" wrapText="1"/>
      <protection/>
    </xf>
    <xf numFmtId="0" fontId="0" fillId="0" borderId="99" xfId="0" applyBorder="1" applyAlignment="1">
      <alignment horizontal="right"/>
    </xf>
    <xf numFmtId="0" fontId="0" fillId="0" borderId="100" xfId="0" applyBorder="1" applyAlignment="1">
      <alignment horizontal="right"/>
    </xf>
    <xf numFmtId="0" fontId="47" fillId="0" borderId="42" xfId="53" applyFont="1" applyFill="1" applyBorder="1" applyAlignment="1">
      <alignment horizontal="left" vertical="center"/>
      <protection/>
    </xf>
    <xf numFmtId="0" fontId="47" fillId="0" borderId="0" xfId="53" applyFont="1" applyFill="1" applyBorder="1" applyAlignment="1">
      <alignment horizontal="left" vertical="center"/>
      <protection/>
    </xf>
    <xf numFmtId="0" fontId="47" fillId="0" borderId="43" xfId="53" applyFont="1" applyFill="1" applyBorder="1" applyAlignment="1">
      <alignment horizontal="left" vertical="center"/>
      <protection/>
    </xf>
    <xf numFmtId="0" fontId="51" fillId="0" borderId="0" xfId="53" applyFont="1" applyAlignment="1">
      <alignment horizontal="right"/>
      <protection/>
    </xf>
    <xf numFmtId="0" fontId="23" fillId="0" borderId="0" xfId="53" applyFont="1" applyAlignment="1">
      <alignment horizontal="right"/>
      <protection/>
    </xf>
    <xf numFmtId="0" fontId="49" fillId="0" borderId="0" xfId="53" applyFont="1" applyBorder="1" applyAlignment="1">
      <alignment horizontal="right"/>
      <protection/>
    </xf>
    <xf numFmtId="0" fontId="23" fillId="0" borderId="0" xfId="53" applyFont="1" applyBorder="1" applyAlignment="1">
      <alignment horizontal="right"/>
      <protection/>
    </xf>
    <xf numFmtId="0" fontId="45" fillId="0" borderId="42" xfId="53" applyFont="1" applyFill="1" applyBorder="1" applyAlignment="1">
      <alignment horizontal="left" vertical="top" wrapText="1" indent="1"/>
      <protection/>
    </xf>
    <xf numFmtId="0" fontId="45" fillId="0" borderId="0" xfId="53" applyFont="1" applyFill="1" applyBorder="1" applyAlignment="1">
      <alignment horizontal="left" vertical="top" wrapText="1" indent="1"/>
      <protection/>
    </xf>
    <xf numFmtId="0" fontId="53" fillId="4" borderId="26" xfId="53" applyFont="1" applyFill="1" applyBorder="1" applyAlignment="1">
      <alignment horizontal="center"/>
      <protection/>
    </xf>
    <xf numFmtId="0" fontId="53" fillId="4" borderId="51" xfId="53" applyFont="1" applyFill="1" applyBorder="1" applyAlignment="1">
      <alignment horizontal="center"/>
      <protection/>
    </xf>
    <xf numFmtId="0" fontId="58" fillId="0" borderId="0" xfId="53" applyFont="1" applyAlignment="1" applyProtection="1">
      <alignment horizontal="center" vertical="center"/>
      <protection/>
    </xf>
    <xf numFmtId="0" fontId="22" fillId="0" borderId="101" xfId="53" applyFont="1" applyBorder="1" applyAlignment="1" applyProtection="1">
      <alignment horizontal="center" textRotation="90"/>
      <protection/>
    </xf>
    <xf numFmtId="0" fontId="0" fillId="0" borderId="27" xfId="53" applyFont="1" applyBorder="1" applyAlignment="1" applyProtection="1">
      <alignment horizontal="center"/>
      <protection/>
    </xf>
    <xf numFmtId="0" fontId="0" fillId="21" borderId="102" xfId="53" applyFont="1" applyFill="1" applyBorder="1" applyAlignment="1" applyProtection="1">
      <alignment horizontal="center"/>
      <protection/>
    </xf>
    <xf numFmtId="169" fontId="0" fillId="0" borderId="103" xfId="53" applyNumberFormat="1" applyFont="1" applyBorder="1" applyProtection="1">
      <alignment/>
      <protection/>
    </xf>
    <xf numFmtId="169" fontId="0" fillId="0" borderId="41" xfId="53" applyNumberFormat="1" applyFont="1" applyBorder="1" applyProtection="1">
      <alignment/>
      <protection/>
    </xf>
    <xf numFmtId="169" fontId="0" fillId="0" borderId="38" xfId="53" applyNumberFormat="1" applyFont="1" applyFill="1" applyBorder="1" applyProtection="1">
      <alignment/>
      <protection/>
    </xf>
    <xf numFmtId="169" fontId="0" fillId="24" borderId="104" xfId="53" applyNumberFormat="1" applyFont="1" applyFill="1" applyBorder="1" applyProtection="1">
      <alignment/>
      <protection/>
    </xf>
    <xf numFmtId="169" fontId="0" fillId="24" borderId="105" xfId="53" applyNumberFormat="1" applyFont="1" applyFill="1" applyBorder="1" applyProtection="1">
      <alignment/>
      <protection/>
    </xf>
    <xf numFmtId="169" fontId="0" fillId="24" borderId="41" xfId="53" applyNumberFormat="1" applyFont="1" applyFill="1" applyBorder="1" applyProtection="1">
      <alignment/>
      <protection/>
    </xf>
    <xf numFmtId="169" fontId="0" fillId="24" borderId="74" xfId="53" applyNumberFormat="1" applyFont="1" applyFill="1" applyBorder="1" applyProtection="1">
      <alignment/>
      <protection/>
    </xf>
    <xf numFmtId="0" fontId="0" fillId="0" borderId="51" xfId="53" applyFont="1" applyBorder="1" applyAlignment="1" applyProtection="1">
      <alignment horizontal="center"/>
      <protection/>
    </xf>
    <xf numFmtId="169" fontId="0" fillId="24" borderId="103" xfId="53" applyNumberFormat="1" applyFont="1" applyFill="1" applyBorder="1" applyProtection="1">
      <alignment/>
      <protection/>
    </xf>
    <xf numFmtId="169" fontId="0" fillId="24" borderId="37" xfId="53" applyNumberFormat="1" applyFont="1" applyFill="1" applyBorder="1" applyProtection="1">
      <alignment/>
      <protection/>
    </xf>
    <xf numFmtId="169" fontId="0" fillId="0" borderId="64" xfId="53" applyNumberFormat="1" applyFont="1" applyBorder="1" applyProtection="1">
      <alignment/>
      <protection/>
    </xf>
    <xf numFmtId="169" fontId="0" fillId="0" borderId="76" xfId="53" applyNumberFormat="1" applyFont="1" applyBorder="1" applyProtection="1">
      <alignment/>
      <protection/>
    </xf>
    <xf numFmtId="0" fontId="0" fillId="21" borderId="51" xfId="53" applyFont="1" applyFill="1" applyBorder="1" applyAlignment="1" applyProtection="1">
      <alignment horizontal="center"/>
      <protection/>
    </xf>
    <xf numFmtId="169" fontId="0" fillId="24" borderId="64" xfId="53" applyNumberFormat="1" applyFont="1" applyFill="1" applyBorder="1" applyProtection="1">
      <alignment/>
      <protection/>
    </xf>
    <xf numFmtId="169" fontId="0" fillId="24" borderId="76" xfId="53" applyNumberFormat="1" applyFont="1" applyFill="1" applyBorder="1" applyProtection="1">
      <alignment/>
      <protection/>
    </xf>
    <xf numFmtId="169" fontId="0" fillId="0" borderId="106" xfId="53" applyNumberFormat="1" applyFont="1" applyBorder="1" applyProtection="1">
      <alignment/>
      <protection/>
    </xf>
    <xf numFmtId="0" fontId="61" fillId="0" borderId="51" xfId="53" applyFont="1" applyBorder="1" applyAlignment="1" applyProtection="1">
      <alignment horizontal="center"/>
      <protection/>
    </xf>
    <xf numFmtId="169" fontId="0" fillId="0" borderId="107" xfId="53" applyNumberFormat="1" applyFont="1" applyBorder="1" applyProtection="1">
      <alignment/>
      <protection/>
    </xf>
    <xf numFmtId="0" fontId="0" fillId="0" borderId="54" xfId="53" applyFont="1" applyBorder="1" applyAlignment="1" applyProtection="1">
      <alignment horizontal="center"/>
      <protection/>
    </xf>
    <xf numFmtId="169" fontId="0" fillId="0" borderId="108" xfId="53" applyNumberFormat="1" applyFont="1" applyBorder="1" applyProtection="1">
      <alignment/>
      <protection/>
    </xf>
    <xf numFmtId="169" fontId="0" fillId="0" borderId="39" xfId="53" applyNumberFormat="1" applyFont="1" applyBorder="1" applyProtection="1">
      <alignment/>
      <protection/>
    </xf>
    <xf numFmtId="0" fontId="61" fillId="21" borderId="51" xfId="53" applyFont="1" applyFill="1" applyBorder="1" applyAlignment="1" applyProtection="1">
      <alignment horizontal="center"/>
      <protection/>
    </xf>
    <xf numFmtId="0" fontId="33" fillId="25" borderId="24" xfId="53" applyFont="1" applyFill="1" applyBorder="1" applyAlignment="1" applyProtection="1">
      <alignment horizontal="center" vertical="center"/>
      <protection locked="0"/>
    </xf>
  </cellXfs>
  <cellStyles count="5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3 ans ONP" xfId="53"/>
    <cellStyle name="Pilote de données - Catégorie" xfId="54"/>
    <cellStyle name="Pilote de données - Champ" xfId="55"/>
    <cellStyle name="Pilote de données - Coin" xfId="56"/>
    <cellStyle name="Pilote de données - Valeur" xfId="57"/>
    <cellStyle name="Percent" xfId="58"/>
    <cellStyle name="Satisfaisant" xfId="59"/>
    <cellStyle name="Sorti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otal" xfId="67"/>
    <cellStyle name="Vérification" xfId="68"/>
  </cellStyles>
  <dxfs count="10">
    <dxf>
      <fill>
        <patternFill patternType="solid">
          <bgColor rgb="FFFFFF99"/>
        </patternFill>
      </fill>
      <border/>
    </dxf>
    <dxf>
      <font>
        <color rgb="FFFF0000"/>
      </font>
      <border/>
    </dxf>
    <dxf>
      <alignment horizontal="center" readingOrder="0"/>
      <border/>
    </dxf>
    <dxf>
      <font>
        <b/>
      </font>
      <border/>
    </dxf>
    <dxf>
      <font>
        <name val="Comic Sans MS"/>
      </font>
      <fill>
        <patternFill patternType="solid">
          <fgColor rgb="FFFFFF99"/>
          <bgColor rgb="FFFFFFCC"/>
        </patternFill>
      </fill>
      <alignment horizontal="center" vertical="center" textRotation="90" readingOrder="0"/>
      <border/>
      <protection hidden="1" locked="0"/>
    </dxf>
    <dxf>
      <fill>
        <patternFill>
          <bgColor rgb="FFFFFF99"/>
        </patternFill>
      </fill>
      <border/>
    </dxf>
    <dxf>
      <alignment vertical="center" readingOrder="0"/>
      <border/>
    </dxf>
    <dxf>
      <border/>
      <protection hidden="1" locked="0"/>
    </dxf>
    <dxf>
      <fill>
        <patternFill patternType="solid">
          <fgColor rgb="FFFFFFCC"/>
          <bgColor rgb="FFFFFF99"/>
        </patternFill>
      </fill>
      <alignment horizontal="center" vertical="center" textRotation="90" readingOrder="0"/>
      <border/>
    </dxf>
    <dxf>
      <fill>
        <patternFill patternType="none"/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3.xml" /><Relationship Id="rId7" Type="http://schemas.openxmlformats.org/officeDocument/2006/relationships/pivotCacheDefinition" Target="pivotCache/pivotCacheDefinition4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2</xdr:row>
      <xdr:rowOff>247650</xdr:rowOff>
    </xdr:from>
    <xdr:to>
      <xdr:col>1</xdr:col>
      <xdr:colOff>1647825</xdr:colOff>
      <xdr:row>2</xdr:row>
      <xdr:rowOff>1657350</xdr:rowOff>
    </xdr:to>
    <xdr:pic>
      <xdr:nvPicPr>
        <xdr:cNvPr id="1" name="Picture 9" descr="ONP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695325"/>
          <a:ext cx="16383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</xdr:colOff>
      <xdr:row>16</xdr:row>
      <xdr:rowOff>28575</xdr:rowOff>
    </xdr:from>
    <xdr:to>
      <xdr:col>4</xdr:col>
      <xdr:colOff>1781175</xdr:colOff>
      <xdr:row>22</xdr:row>
      <xdr:rowOff>228600</xdr:rowOff>
    </xdr:to>
    <xdr:pic>
      <xdr:nvPicPr>
        <xdr:cNvPr id="1" name="Picture 4" descr="ONP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3590925"/>
          <a:ext cx="17430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1819275</xdr:colOff>
      <xdr:row>23</xdr:row>
      <xdr:rowOff>180975</xdr:rowOff>
    </xdr:from>
    <xdr:to>
      <xdr:col>4</xdr:col>
      <xdr:colOff>2781300</xdr:colOff>
      <xdr:row>25</xdr:row>
      <xdr:rowOff>38100</xdr:rowOff>
    </xdr:to>
    <xdr:pic>
      <xdr:nvPicPr>
        <xdr:cNvPr id="2" name="Picture 5" descr="equideclic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43650" y="5438775"/>
          <a:ext cx="9620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ocuments%20and%20Settings\Catherine%20Poirier\Mes%20documents\Elevage\Poneys\ONP\M&amp;A\2010\100710LeP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atherine%20Poirier\Mes%20documents\Elevage\Poneys\ONP\M&amp;A\2014\1405243AleP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CS"/>
      <sheetName val="Section"/>
      <sheetName val="Préparation"/>
      <sheetName val="Notes1_2A"/>
      <sheetName val="Classements1_2A"/>
      <sheetName val="Par jury1_2A"/>
      <sheetName val="Fiche1_2A"/>
      <sheetName val="NotesPS"/>
      <sheetName val="ClassementsPS"/>
      <sheetName val="Fiche Poulinières et Foals"/>
      <sheetName val="Grilles"/>
    </sheetNames>
    <sheetDataSet>
      <sheetData sheetId="3">
        <row r="4">
          <cell r="A4">
            <v>1</v>
          </cell>
          <cell r="B4" t="str">
            <v>VASSAL DU VAL</v>
          </cell>
          <cell r="C4" t="str">
            <v>1M</v>
          </cell>
          <cell r="D4" t="str">
            <v>PFS</v>
          </cell>
          <cell r="F4" t="str">
            <v>MLLE SANDRA LAMOTTE
14130 ST MARTIN AUX CHARTRAINS</v>
          </cell>
          <cell r="H4" t="str">
            <v>M. DELAMARE MICHEL
50370 LES LOGES SUR BRECEY</v>
          </cell>
          <cell r="U4">
            <v>0</v>
          </cell>
          <cell r="AG4">
            <v>0</v>
          </cell>
          <cell r="AI4">
            <v>0</v>
          </cell>
          <cell r="AJ4" t="str">
            <v>M</v>
          </cell>
          <cell r="AK4" t="str">
            <v>CHAMPI (FR) AR</v>
          </cell>
          <cell r="AL4" t="str">
            <v>NOURISETTE (FR) PO</v>
          </cell>
          <cell r="AM4" t="str">
            <v>TONNERRE D'ANGRIE (FR) PFS</v>
          </cell>
          <cell r="AN4">
            <v>39870</v>
          </cell>
        </row>
        <row r="5">
          <cell r="A5">
            <v>2</v>
          </cell>
          <cell r="B5" t="str">
            <v>VIENS TU</v>
          </cell>
          <cell r="C5" t="str">
            <v>1M</v>
          </cell>
          <cell r="D5" t="str">
            <v>PFS</v>
          </cell>
          <cell r="F5" t="str">
            <v>MLLE SANDRA LAMOTTE
14130 ST MARTIN AUX CHARTRAINS</v>
          </cell>
          <cell r="H5" t="str">
            <v>M. SANSON PIERRE
50440 BIVILLE</v>
          </cell>
          <cell r="U5">
            <v>0</v>
          </cell>
          <cell r="AG5">
            <v>0</v>
          </cell>
          <cell r="AI5">
            <v>0</v>
          </cell>
          <cell r="AJ5" t="str">
            <v>M</v>
          </cell>
          <cell r="AK5" t="str">
            <v>JOCKER DES NOUETTES (FR) PFS</v>
          </cell>
          <cell r="AL5" t="str">
            <v>PAMELA DU VINNEBUS (FR) PFS</v>
          </cell>
          <cell r="AM5" t="str">
            <v>UN BIJOU D'ANGRIE (FR) PFS</v>
          </cell>
          <cell r="AN5">
            <v>39906</v>
          </cell>
        </row>
        <row r="6">
          <cell r="A6">
            <v>3</v>
          </cell>
          <cell r="B6" t="str">
            <v>VIKING DU CLOS DRIEUX</v>
          </cell>
          <cell r="C6" t="str">
            <v>1M</v>
          </cell>
          <cell r="D6" t="str">
            <v>PFS</v>
          </cell>
          <cell r="F6" t="str">
            <v>M. ROGER GRAMESNIL
50600 ST HILAIRE DU HARCOUET</v>
          </cell>
          <cell r="H6" t="str">
            <v>M. GRASMENIL ROGER
50600 ST HILAIRE DU HARCOUET</v>
          </cell>
          <cell r="U6">
            <v>0</v>
          </cell>
          <cell r="AG6">
            <v>0</v>
          </cell>
          <cell r="AI6">
            <v>0</v>
          </cell>
          <cell r="AJ6" t="str">
            <v>M</v>
          </cell>
          <cell r="AK6" t="str">
            <v>BAURISHEEN KING (FR) CO</v>
          </cell>
          <cell r="AL6" t="str">
            <v>JASMINE DE LA MOUCHE (FR) PFS</v>
          </cell>
          <cell r="AM6" t="str">
            <v>FORBAN DE RAVARY (FR) CO</v>
          </cell>
          <cell r="AN6">
            <v>39916</v>
          </cell>
        </row>
        <row r="7">
          <cell r="A7">
            <v>4</v>
          </cell>
          <cell r="B7" t="str">
            <v>VAILLANTE DE CABUE</v>
          </cell>
          <cell r="C7" t="str">
            <v>1F</v>
          </cell>
          <cell r="D7" t="str">
            <v>SHE</v>
          </cell>
          <cell r="F7" t="str">
            <v>S.C.E.A. LES TERRES NOIRES
61240 NONANT LE PIN</v>
          </cell>
          <cell r="H7" t="str">
            <v>MME POISSON-MAIGNAN VERONIQUE
61240 NONANT LE PIN</v>
          </cell>
          <cell r="U7">
            <v>0</v>
          </cell>
          <cell r="AG7">
            <v>0</v>
          </cell>
          <cell r="AI7">
            <v>0</v>
          </cell>
          <cell r="AJ7" t="str">
            <v>F</v>
          </cell>
          <cell r="AK7" t="str">
            <v>SIEM V STAL NIEUWEMOED (NL) SHE</v>
          </cell>
          <cell r="AL7" t="str">
            <v>TALENT V STAL VEROSA (NL) SHE</v>
          </cell>
          <cell r="AM7" t="str">
            <v>JONAS V ST BUGGENUM (NL) SHE</v>
          </cell>
          <cell r="AN7">
            <v>39945</v>
          </cell>
        </row>
        <row r="8">
          <cell r="A8">
            <v>5</v>
          </cell>
          <cell r="B8" t="str">
            <v>VOLKAINE DE CABUE</v>
          </cell>
          <cell r="C8" t="str">
            <v>1F</v>
          </cell>
          <cell r="D8" t="str">
            <v>SHE</v>
          </cell>
          <cell r="F8" t="str">
            <v>S.C.E.A. LES TERRES NOIRES
61240 NONANT LE PIN</v>
          </cell>
          <cell r="H8" t="str">
            <v>MME POISSON-MAIGNAN VERONIQUE
61240 NONANT LE PIN</v>
          </cell>
          <cell r="U8">
            <v>0</v>
          </cell>
          <cell r="AG8">
            <v>0</v>
          </cell>
          <cell r="AI8">
            <v>0</v>
          </cell>
          <cell r="AJ8" t="str">
            <v>F</v>
          </cell>
          <cell r="AK8" t="str">
            <v>SIEM V STAL NIEUWEMOED (NL) SHE</v>
          </cell>
          <cell r="AL8" t="str">
            <v>QUI DE CABUE (FR) SHE</v>
          </cell>
          <cell r="AM8" t="str">
            <v>CHIC DES GIRARDS (FR) SHE</v>
          </cell>
          <cell r="AN8">
            <v>39937</v>
          </cell>
        </row>
        <row r="9">
          <cell r="A9">
            <v>6</v>
          </cell>
          <cell r="B9" t="str">
            <v>VICEVERSA PRES CARRES</v>
          </cell>
          <cell r="C9" t="str">
            <v>1F</v>
          </cell>
          <cell r="D9" t="str">
            <v>PFS</v>
          </cell>
          <cell r="F9" t="str">
            <v>MME FRANCOISE PICHONNIER
14590 MOYAUX</v>
          </cell>
          <cell r="H9" t="str">
            <v>MME PICHONNIER FRANCOISE
14590 MOYAUX</v>
          </cell>
          <cell r="U9">
            <v>0</v>
          </cell>
          <cell r="AG9">
            <v>0</v>
          </cell>
          <cell r="AI9">
            <v>0</v>
          </cell>
          <cell r="AJ9" t="str">
            <v>F</v>
          </cell>
          <cell r="AK9" t="str">
            <v>MACHNO CARWYN (GB) WD</v>
          </cell>
          <cell r="AL9" t="str">
            <v>DOCILE DU HOULEY (FR) PFS</v>
          </cell>
          <cell r="AM9" t="str">
            <v>WALID AL FAWZAN (FR) AR</v>
          </cell>
          <cell r="AN9">
            <v>39934</v>
          </cell>
        </row>
        <row r="10">
          <cell r="A10">
            <v>7</v>
          </cell>
          <cell r="B10" t="str">
            <v>VIRTUELLE DE LA CROIX</v>
          </cell>
          <cell r="C10" t="str">
            <v>1F</v>
          </cell>
          <cell r="D10" t="str">
            <v>PFS</v>
          </cell>
          <cell r="F10" t="str">
            <v>MLLE MATHILDE LESOUEF
50160 GIEVILLE</v>
          </cell>
          <cell r="H10" t="str">
            <v>MLLE LESOUEF MATHILDE
50160 GIEVILLE</v>
          </cell>
          <cell r="U10">
            <v>0</v>
          </cell>
          <cell r="AG10">
            <v>0</v>
          </cell>
          <cell r="AI10">
            <v>0</v>
          </cell>
          <cell r="AJ10" t="str">
            <v>F</v>
          </cell>
          <cell r="AK10" t="str">
            <v>INTERMEDE A BORD (FR) PFS</v>
          </cell>
          <cell r="AL10" t="str">
            <v>DAMIETTE (FR) PFS</v>
          </cell>
          <cell r="AM10" t="str">
            <v>SYRIUS DE MAI (FR) PFS</v>
          </cell>
          <cell r="AN10">
            <v>39941</v>
          </cell>
        </row>
        <row r="11">
          <cell r="A11">
            <v>8</v>
          </cell>
          <cell r="B11" t="str">
            <v>ULTI DE LAMERCERIE</v>
          </cell>
          <cell r="C11" t="str">
            <v>2M</v>
          </cell>
          <cell r="D11" t="str">
            <v>NF</v>
          </cell>
          <cell r="F11" t="str">
            <v>M. JEAN-LOUIS LOZAY
76480 STE MARGUERITE SUR DUCLAIR</v>
          </cell>
          <cell r="H11" t="str">
            <v>M. LOZAY JEAN-LOUIS
76480 STE MARGUERITE SUR DUCLAIR</v>
          </cell>
          <cell r="U11">
            <v>0</v>
          </cell>
          <cell r="Z11">
            <v>0</v>
          </cell>
          <cell r="AG11">
            <v>0</v>
          </cell>
          <cell r="AI11">
            <v>0</v>
          </cell>
          <cell r="AJ11" t="str">
            <v>M</v>
          </cell>
          <cell r="AK11" t="str">
            <v>SULAATIK'S VERSAGE (NL) NF</v>
          </cell>
          <cell r="AL11" t="str">
            <v>KORRIGANE DE CIVRY (FR) NF</v>
          </cell>
          <cell r="AM11" t="str">
            <v>GLEN DE L'AUMONT (FR) NF</v>
          </cell>
          <cell r="AN11">
            <v>39565</v>
          </cell>
        </row>
        <row r="12">
          <cell r="A12">
            <v>9</v>
          </cell>
          <cell r="B12" t="str">
            <v>UDAIPUR NORDMANN</v>
          </cell>
          <cell r="C12" t="str">
            <v>2M</v>
          </cell>
          <cell r="D12" t="str">
            <v>PFS</v>
          </cell>
          <cell r="F12" t="str">
            <v>MLLE MATHILDE HOUIVET
50800 VILLEDIEU LES POELES</v>
          </cell>
          <cell r="H12" t="str">
            <v>MME LEMASSON MARINE
50570 CAMETOURS</v>
          </cell>
          <cell r="U12">
            <v>0</v>
          </cell>
          <cell r="Z12">
            <v>0</v>
          </cell>
          <cell r="AG12">
            <v>0</v>
          </cell>
          <cell r="AI12">
            <v>0</v>
          </cell>
          <cell r="AJ12" t="str">
            <v>M</v>
          </cell>
          <cell r="AK12" t="str">
            <v>MAD DU BOSC (FR) PFS</v>
          </cell>
          <cell r="AL12" t="str">
            <v>RAHIFA EL AYLA (FR) PFS</v>
          </cell>
          <cell r="AM12" t="str">
            <v>JOCKER DES NOUETTES (FR) PFS</v>
          </cell>
          <cell r="AN12">
            <v>39576</v>
          </cell>
        </row>
        <row r="13">
          <cell r="A13">
            <v>10</v>
          </cell>
          <cell r="B13" t="str">
            <v>ULYSSES</v>
          </cell>
          <cell r="C13" t="str">
            <v>2M</v>
          </cell>
          <cell r="D13" t="str">
            <v>PFS</v>
          </cell>
          <cell r="F13" t="str">
            <v>M. ARNAUD BONVALET
27170 BEAUMONTEL</v>
          </cell>
          <cell r="H13" t="str">
            <v>M. BOURDON JEAN-CLAUDE
50800 LA LANDE D AIROU</v>
          </cell>
          <cell r="U13">
            <v>0</v>
          </cell>
          <cell r="Z13">
            <v>0</v>
          </cell>
          <cell r="AG13">
            <v>0</v>
          </cell>
          <cell r="AI13">
            <v>0</v>
          </cell>
          <cell r="AJ13" t="str">
            <v>M</v>
          </cell>
          <cell r="AK13" t="str">
            <v>CREOLE D'ANGRIE (FR) PFS</v>
          </cell>
          <cell r="AL13" t="str">
            <v>HYACINTFE (FR) PO</v>
          </cell>
          <cell r="AM13" t="str">
            <v>ARLEQUIN DE MESCAM (FR) CO</v>
          </cell>
          <cell r="AN13">
            <v>39573</v>
          </cell>
        </row>
        <row r="14">
          <cell r="A14">
            <v>11</v>
          </cell>
          <cell r="B14" t="str">
            <v>UNION JACK LEGEND</v>
          </cell>
          <cell r="C14" t="str">
            <v>2M</v>
          </cell>
          <cell r="D14" t="str">
            <v>PFS</v>
          </cell>
          <cell r="F14" t="str">
            <v>M. ARNAUD BONVALET
27170 BEAUMONTEL</v>
          </cell>
          <cell r="H14" t="str">
            <v>M. THIBAUD FRANCK
02290 ST BANDRY</v>
          </cell>
          <cell r="U14">
            <v>0</v>
          </cell>
          <cell r="Z14">
            <v>0</v>
          </cell>
          <cell r="AG14">
            <v>0</v>
          </cell>
          <cell r="AI14">
            <v>0</v>
          </cell>
          <cell r="AJ14" t="str">
            <v>M</v>
          </cell>
          <cell r="AK14" t="str">
            <v>MAD DU BOSC (FR) PFS</v>
          </cell>
          <cell r="AL14" t="str">
            <v>VALINE (FR) PO</v>
          </cell>
          <cell r="AM14" t="str">
            <v>OBELISQUE (FR) NF</v>
          </cell>
          <cell r="AN14">
            <v>39577</v>
          </cell>
        </row>
        <row r="15">
          <cell r="A15">
            <v>12</v>
          </cell>
          <cell r="B15" t="str">
            <v>UNIVERS DE CAUX</v>
          </cell>
          <cell r="C15" t="str">
            <v>2M</v>
          </cell>
          <cell r="D15" t="str">
            <v>PFS</v>
          </cell>
          <cell r="F15" t="str">
            <v>MLLE SANDRA LAMOTTE
14130 ST MARTIN AUX CHARTRAINS</v>
          </cell>
          <cell r="H15" t="str">
            <v>MLLE LECOUVREUR ELISE
61150 BATILLY</v>
          </cell>
          <cell r="U15">
            <v>0</v>
          </cell>
          <cell r="Z15">
            <v>0</v>
          </cell>
          <cell r="AG15">
            <v>0</v>
          </cell>
          <cell r="AI15">
            <v>0</v>
          </cell>
          <cell r="AJ15" t="str">
            <v>M</v>
          </cell>
          <cell r="AK15" t="str">
            <v>LEOPARD DE MAHOUD (FR) PFS</v>
          </cell>
          <cell r="AL15" t="str">
            <v>KISS ME ST HYMER (FR) PFS</v>
          </cell>
          <cell r="AM15" t="str">
            <v>EXPRESS ST HYMER (FR) CO</v>
          </cell>
          <cell r="AN15">
            <v>39571</v>
          </cell>
        </row>
        <row r="16">
          <cell r="A16">
            <v>13</v>
          </cell>
          <cell r="B16" t="str">
            <v>UNO DU GOUFESTRE</v>
          </cell>
          <cell r="C16" t="str">
            <v>2M</v>
          </cell>
          <cell r="D16" t="str">
            <v>PFS</v>
          </cell>
          <cell r="F16" t="str">
            <v>M. JEAN LEBRETON
50420 TESSY SUR VIRE</v>
          </cell>
          <cell r="H16" t="str">
            <v>M. JAMARD EMMANUEL
50420 LE MESNIL RAOULT
MME JAMARD NATHALIE
50420 LE MESNIL RAOULT</v>
          </cell>
          <cell r="U16">
            <v>0</v>
          </cell>
          <cell r="Z16">
            <v>0</v>
          </cell>
          <cell r="AG16">
            <v>0</v>
          </cell>
          <cell r="AI16">
            <v>0</v>
          </cell>
          <cell r="AJ16" t="str">
            <v>M</v>
          </cell>
          <cell r="AK16" t="str">
            <v>LANCER (DE) DRPON</v>
          </cell>
          <cell r="AL16" t="str">
            <v>REALITY DES CHARMES (FR) PFS</v>
          </cell>
          <cell r="AM16" t="str">
            <v>KARISTO DE L'AUMONT (FR) PFS</v>
          </cell>
          <cell r="AN16">
            <v>39593</v>
          </cell>
        </row>
        <row r="17">
          <cell r="A17">
            <v>14</v>
          </cell>
          <cell r="B17" t="str">
            <v>URABI NORDMANN</v>
          </cell>
          <cell r="C17" t="str">
            <v>2M</v>
          </cell>
          <cell r="D17" t="str">
            <v>PFS</v>
          </cell>
          <cell r="F17" t="str">
            <v>M. DAMIEN LEMASSON
50570 CAMETOURS</v>
          </cell>
          <cell r="H17" t="str">
            <v>MME LEMASSON MARINE
50570 CAMETOURS</v>
          </cell>
          <cell r="U17">
            <v>0</v>
          </cell>
          <cell r="Z17">
            <v>0</v>
          </cell>
          <cell r="AG17">
            <v>0</v>
          </cell>
          <cell r="AI17">
            <v>0</v>
          </cell>
          <cell r="AJ17" t="str">
            <v>M</v>
          </cell>
          <cell r="AK17" t="str">
            <v>POLARIS DU LUY (FR) PFS</v>
          </cell>
          <cell r="AL17" t="str">
            <v>GEISHA D'AMIGNY (FR) NF</v>
          </cell>
          <cell r="AM17" t="str">
            <v>FLIGHTPATH (GB) NF</v>
          </cell>
          <cell r="AN17">
            <v>39597</v>
          </cell>
        </row>
        <row r="18">
          <cell r="A18">
            <v>15</v>
          </cell>
          <cell r="B18" t="str">
            <v>USTENSILE DES CHARMES</v>
          </cell>
          <cell r="C18" t="str">
            <v>2M</v>
          </cell>
          <cell r="D18" t="str">
            <v>PFS</v>
          </cell>
          <cell r="F18" t="str">
            <v>M. JEAN LEBRETON
50420 TESSY SUR VIRE</v>
          </cell>
          <cell r="H18" t="str">
            <v>M. LEBRETON JEAN
50420 TESSY SUR VIRE
MME BENAIS MARIE-JOSEPH
50420 TESSY SUR VIRE</v>
          </cell>
          <cell r="U18">
            <v>0</v>
          </cell>
          <cell r="Z18">
            <v>0</v>
          </cell>
          <cell r="AG18">
            <v>0</v>
          </cell>
          <cell r="AI18">
            <v>0</v>
          </cell>
          <cell r="AJ18" t="str">
            <v>M</v>
          </cell>
          <cell r="AK18" t="str">
            <v>PEPS DOMAIN (FR) PFS</v>
          </cell>
          <cell r="AL18" t="str">
            <v>PEPITE DES CHARMES (FR) PFS</v>
          </cell>
          <cell r="AM18" t="str">
            <v>LINARO (DE) POET</v>
          </cell>
          <cell r="AN18">
            <v>39567</v>
          </cell>
        </row>
        <row r="19">
          <cell r="A19">
            <v>16</v>
          </cell>
          <cell r="B19" t="str">
            <v>UGOLINE D'AVRIL</v>
          </cell>
          <cell r="C19" t="str">
            <v>2F</v>
          </cell>
          <cell r="D19" t="str">
            <v>PFS</v>
          </cell>
          <cell r="F19" t="str">
            <v>MLLE FANTINE AVOINE
14400 CONDE SUR SEULLES</v>
          </cell>
          <cell r="H19" t="str">
            <v>MLLE GOUGEON JULIE
50260 L ETANG BERTRAND</v>
          </cell>
          <cell r="U19">
            <v>0</v>
          </cell>
          <cell r="Z19">
            <v>0</v>
          </cell>
          <cell r="AG19">
            <v>0</v>
          </cell>
          <cell r="AI19">
            <v>0</v>
          </cell>
          <cell r="AJ19" t="str">
            <v>F</v>
          </cell>
          <cell r="AK19" t="str">
            <v>POLARIS DU LUY (FR) PFS</v>
          </cell>
          <cell r="AL19" t="str">
            <v>KYRIELLE (FR) PFS</v>
          </cell>
          <cell r="AM19" t="str">
            <v>VASCO DE LA FUB (FR) PFS</v>
          </cell>
          <cell r="AN19">
            <v>39555</v>
          </cell>
        </row>
        <row r="20">
          <cell r="A20">
            <v>17</v>
          </cell>
          <cell r="B20" t="str">
            <v>ULTRACHIC DE LA CROIX</v>
          </cell>
          <cell r="C20" t="str">
            <v>2F</v>
          </cell>
          <cell r="D20" t="str">
            <v>PFS</v>
          </cell>
          <cell r="F20" t="str">
            <v>MLLE MATHILDE LESOUEF
50160 GIEVILLE</v>
          </cell>
          <cell r="H20" t="str">
            <v>MLLE LESOUEF MATHILDE
50160 GIEVILLE</v>
          </cell>
          <cell r="U20">
            <v>0</v>
          </cell>
          <cell r="Z20">
            <v>0</v>
          </cell>
          <cell r="AG20">
            <v>0</v>
          </cell>
          <cell r="AI20">
            <v>0</v>
          </cell>
          <cell r="AJ20" t="str">
            <v>F</v>
          </cell>
          <cell r="AK20" t="str">
            <v>THUNDER DU BLIN (FR) CO</v>
          </cell>
          <cell r="AL20" t="str">
            <v>DAMIETTE (FR) PFS</v>
          </cell>
          <cell r="AM20" t="str">
            <v>SYRIUS DE MAI (FR) PFS</v>
          </cell>
          <cell r="AN20">
            <v>39572</v>
          </cell>
        </row>
        <row r="21">
          <cell r="A21">
            <v>18</v>
          </cell>
          <cell r="B21" t="str">
            <v>UMATILLAS D'ORLOV</v>
          </cell>
          <cell r="C21" t="str">
            <v>2F</v>
          </cell>
          <cell r="D21" t="str">
            <v>PFS</v>
          </cell>
          <cell r="F21" t="str">
            <v>S.C.E.A. D' ORLOV
61440 MESSEI</v>
          </cell>
          <cell r="H21" t="str">
            <v>ORLOV S.C.E.A. D'
61440 MESSEI</v>
          </cell>
          <cell r="U21">
            <v>0</v>
          </cell>
          <cell r="Z21">
            <v>0</v>
          </cell>
          <cell r="AG21">
            <v>0</v>
          </cell>
          <cell r="AI21">
            <v>0</v>
          </cell>
          <cell r="AJ21" t="str">
            <v>F</v>
          </cell>
          <cell r="AK21" t="str">
            <v>GALA DE MONTIEGE (FR) PFS</v>
          </cell>
          <cell r="AL21" t="str">
            <v>BONICA DU TEILLEUL (FR) PFS</v>
          </cell>
          <cell r="AM21" t="str">
            <v>OBELISQUE (FR) NF</v>
          </cell>
          <cell r="AN21">
            <v>39581</v>
          </cell>
        </row>
        <row r="22">
          <cell r="A22">
            <v>19</v>
          </cell>
          <cell r="B22" t="str">
            <v>UNE DE LA TOUQUE</v>
          </cell>
          <cell r="C22" t="str">
            <v>2F</v>
          </cell>
          <cell r="D22" t="str">
            <v>PFS</v>
          </cell>
          <cell r="F22" t="str">
            <v>MME LUDIVINE ACHENZA
27210 LA LANDE ST LEGER</v>
          </cell>
          <cell r="H22" t="str">
            <v>M. FLANDIN ARNAUD
14800 BONNEVILLE SUR TOUQUES</v>
          </cell>
          <cell r="U22">
            <v>0</v>
          </cell>
          <cell r="Z22">
            <v>0</v>
          </cell>
          <cell r="AG22">
            <v>0</v>
          </cell>
          <cell r="AI22">
            <v>0</v>
          </cell>
          <cell r="AJ22" t="str">
            <v>F</v>
          </cell>
          <cell r="AK22" t="str">
            <v>CALIN DU PLESSIS (FR) SFA</v>
          </cell>
          <cell r="AL22" t="str">
            <v>FAILLANCE (FR) PFS</v>
          </cell>
          <cell r="AM22" t="str">
            <v>WILLOWAY ALL GOLD (GB) NF</v>
          </cell>
          <cell r="AN22">
            <v>39578</v>
          </cell>
        </row>
        <row r="23">
          <cell r="A23">
            <v>20</v>
          </cell>
          <cell r="B23" t="str">
            <v>UNLIMITED DU QUESNAY</v>
          </cell>
          <cell r="C23" t="str">
            <v>2F</v>
          </cell>
          <cell r="D23" t="str">
            <v>PFS</v>
          </cell>
          <cell r="F23" t="str">
            <v>MLLE BERANGERE MOUROUX
50000 ST LO</v>
          </cell>
          <cell r="H23" t="str">
            <v>MME MANETTI COLE SANDRINE
60650 VILLERS SUR AUCHY</v>
          </cell>
          <cell r="U23">
            <v>0</v>
          </cell>
          <cell r="Z23">
            <v>0</v>
          </cell>
          <cell r="AG23">
            <v>0</v>
          </cell>
          <cell r="AI23">
            <v>0</v>
          </cell>
          <cell r="AJ23" t="str">
            <v>F</v>
          </cell>
          <cell r="AK23" t="str">
            <v>LINARO (DE) POET</v>
          </cell>
          <cell r="AL23" t="str">
            <v>JENNY D'AVANCON (FR) WB</v>
          </cell>
          <cell r="AM23" t="str">
            <v>VINCI DU LOGIS (FR) WB</v>
          </cell>
          <cell r="AN23">
            <v>39572</v>
          </cell>
        </row>
        <row r="24">
          <cell r="A24">
            <v>21</v>
          </cell>
          <cell r="B24" t="str">
            <v>UPPSALA D'ORLOV</v>
          </cell>
          <cell r="C24" t="str">
            <v>2F</v>
          </cell>
          <cell r="D24" t="str">
            <v>PFS</v>
          </cell>
          <cell r="F24" t="str">
            <v>S.C.E.A. D' ORLOV
61440 MESSEI</v>
          </cell>
          <cell r="H24" t="str">
            <v>ORLOV S.C.E.A. D'
61440 MESSEI</v>
          </cell>
          <cell r="U24">
            <v>0</v>
          </cell>
          <cell r="Z24">
            <v>0</v>
          </cell>
          <cell r="AG24">
            <v>0</v>
          </cell>
          <cell r="AI24">
            <v>0</v>
          </cell>
          <cell r="AJ24" t="str">
            <v>F</v>
          </cell>
          <cell r="AK24" t="str">
            <v>MACHNO CARWYN (GB) WD</v>
          </cell>
          <cell r="AL24" t="str">
            <v>HIOWA D'ORLOV (FR) PO</v>
          </cell>
          <cell r="AM24" t="str">
            <v>ARLEQUIN DE MESCAM (FR) CO</v>
          </cell>
          <cell r="AN24">
            <v>39603</v>
          </cell>
        </row>
        <row r="25">
          <cell r="A25">
            <v>22</v>
          </cell>
          <cell r="B25" t="str">
            <v>URANIE DES CHARMES</v>
          </cell>
          <cell r="C25" t="str">
            <v>2F</v>
          </cell>
          <cell r="D25" t="str">
            <v>PFS</v>
          </cell>
          <cell r="F25" t="str">
            <v>M. JEAN LEBRETON
50420 TESSY SUR VIRE</v>
          </cell>
          <cell r="H25" t="str">
            <v>M. LEBRETON JEAN
50420 TESSY SUR VIRE
MME BENAIS MARIE-JOSEPH
50420 TESSY SUR VIRE</v>
          </cell>
          <cell r="U25">
            <v>0</v>
          </cell>
          <cell r="Z25">
            <v>0</v>
          </cell>
          <cell r="AG25">
            <v>0</v>
          </cell>
          <cell r="AI25">
            <v>0</v>
          </cell>
          <cell r="AJ25" t="str">
            <v>F</v>
          </cell>
          <cell r="AK25" t="str">
            <v>INTERMEDE A BORD (FR) PFS</v>
          </cell>
          <cell r="AL25" t="str">
            <v>MADO DES CHARMES (FR) PFS</v>
          </cell>
          <cell r="AM25" t="str">
            <v>ETOILE D'HARDY (FR) NF</v>
          </cell>
          <cell r="AN25">
            <v>39604</v>
          </cell>
        </row>
        <row r="26">
          <cell r="A26">
            <v>23</v>
          </cell>
          <cell r="B26" t="str">
            <v>USHUAIA DE MONTCHOIX</v>
          </cell>
          <cell r="C26" t="str">
            <v>2F</v>
          </cell>
          <cell r="D26" t="str">
            <v>PFS</v>
          </cell>
          <cell r="F26" t="str">
            <v>S.C.E.A. D' ORLOV
61440 MESSEI</v>
          </cell>
          <cell r="H26" t="str">
            <v>MME MUNIER BIENTZ EUGENIE
14700 FALAISE</v>
          </cell>
          <cell r="U26">
            <v>0</v>
          </cell>
          <cell r="Z26">
            <v>0</v>
          </cell>
          <cell r="AG26">
            <v>0</v>
          </cell>
          <cell r="AI26">
            <v>0</v>
          </cell>
          <cell r="AJ26" t="str">
            <v>F</v>
          </cell>
          <cell r="AK26" t="str">
            <v>GARNEMENT LA BREE (FR) WD</v>
          </cell>
          <cell r="AL26" t="str">
            <v>LOU DU GRAND CHABLE (FR) CO</v>
          </cell>
          <cell r="AM26" t="str">
            <v>MERELY MONARCH (FR) CO</v>
          </cell>
          <cell r="AN26">
            <v>39571</v>
          </cell>
        </row>
        <row r="27">
          <cell r="A27">
            <v>24</v>
          </cell>
          <cell r="B27" t="str">
            <v>ULLA DE LA SCALLERIE</v>
          </cell>
          <cell r="C27" t="str">
            <v>2F</v>
          </cell>
          <cell r="D27" t="str">
            <v>NF</v>
          </cell>
          <cell r="F27" t="str">
            <v>MLLE ELISE LECOUVREUR
61150 BATILLY</v>
          </cell>
          <cell r="H27" t="str">
            <v>MME MAUQUET MONIQUE
14240 LA VACQUERIE</v>
          </cell>
          <cell r="U27">
            <v>0</v>
          </cell>
          <cell r="Z27">
            <v>0</v>
          </cell>
          <cell r="AG27">
            <v>0</v>
          </cell>
          <cell r="AI27">
            <v>0</v>
          </cell>
          <cell r="AJ27" t="str">
            <v>F</v>
          </cell>
          <cell r="AK27" t="str">
            <v>NILOWAY DE L'ARBALOU (FR) NF</v>
          </cell>
          <cell r="AL27" t="str">
            <v>LOVE DE FOLLIGNY (FR) NF</v>
          </cell>
          <cell r="AM27" t="str">
            <v>GLEN DE L'AUMONT (FR) NF</v>
          </cell>
          <cell r="AN27">
            <v>39560</v>
          </cell>
        </row>
        <row r="28">
          <cell r="A28">
            <v>25</v>
          </cell>
          <cell r="B28" t="str">
            <v>UNANIME RISLOISE</v>
          </cell>
          <cell r="C28" t="str">
            <v>2F</v>
          </cell>
          <cell r="D28" t="str">
            <v>NF</v>
          </cell>
          <cell r="F28" t="str">
            <v>M. ARNAUD BONVALET
27170 BEAUMONTEL</v>
          </cell>
          <cell r="H28" t="str">
            <v>M. BONVALET ARNAUD
27170 BEAUMONTEL</v>
          </cell>
          <cell r="U28">
            <v>0</v>
          </cell>
          <cell r="Z28">
            <v>0</v>
          </cell>
          <cell r="AG28">
            <v>0</v>
          </cell>
          <cell r="AI28">
            <v>0</v>
          </cell>
          <cell r="AJ28" t="str">
            <v>F</v>
          </cell>
          <cell r="AK28" t="str">
            <v>MIKADO RISLOIS (FR) NF</v>
          </cell>
          <cell r="AL28" t="str">
            <v>KERJOIE DES ETANGS (FR) NF</v>
          </cell>
          <cell r="AM28" t="str">
            <v>JOLLY DES IFS (FR) NF</v>
          </cell>
          <cell r="AN28">
            <v>39600</v>
          </cell>
        </row>
        <row r="29">
          <cell r="A29">
            <v>26</v>
          </cell>
          <cell r="B29" t="str">
            <v>ULSTER TOURNERIE</v>
          </cell>
          <cell r="C29" t="str">
            <v>2F</v>
          </cell>
          <cell r="D29" t="str">
            <v>CO</v>
          </cell>
          <cell r="F29" t="str">
            <v>MME CATHERINE POIRIER
61210 CHAMPCERIE</v>
          </cell>
          <cell r="H29" t="str">
            <v>MME POIRIER CATHERINE
61210 CHAMPCERIE
MLLE POIRIER SEGOLENE
61210 CHAMPCERIE</v>
          </cell>
          <cell r="U29">
            <v>0</v>
          </cell>
          <cell r="Z29">
            <v>0</v>
          </cell>
          <cell r="AG29">
            <v>0</v>
          </cell>
          <cell r="AI29">
            <v>0</v>
          </cell>
          <cell r="AJ29" t="str">
            <v>F</v>
          </cell>
          <cell r="AK29" t="str">
            <v>WESTIDE MIRAH II (IE) CO</v>
          </cell>
          <cell r="AL29" t="str">
            <v>NUANCE D'AZUR (FR) CO</v>
          </cell>
          <cell r="AM29" t="str">
            <v>APOLLON PONDY (FR) CO</v>
          </cell>
          <cell r="AN29">
            <v>39514</v>
          </cell>
        </row>
        <row r="30">
          <cell r="A30">
            <v>27</v>
          </cell>
          <cell r="B30" t="str">
            <v>UNIKAIA DES VAUTS</v>
          </cell>
          <cell r="C30" t="str">
            <v>2F</v>
          </cell>
          <cell r="D30" t="str">
            <v>CO</v>
          </cell>
          <cell r="F30" t="str">
            <v>MME SYLVIE TOURTOULOU
14140 ST GERMAIN DE MONTGOMMERY</v>
          </cell>
          <cell r="H30" t="str">
            <v>MME FELIX SOPHIE
14140 LE MESNIL SIMON</v>
          </cell>
          <cell r="U30">
            <v>0</v>
          </cell>
          <cell r="Z30">
            <v>0</v>
          </cell>
          <cell r="AG30">
            <v>0</v>
          </cell>
          <cell r="AI30">
            <v>0</v>
          </cell>
          <cell r="AJ30" t="str">
            <v>F</v>
          </cell>
          <cell r="AK30" t="str">
            <v>VILLAGE FIONN (IE) CO</v>
          </cell>
          <cell r="AL30" t="str">
            <v>ARIANE (FR) CO</v>
          </cell>
          <cell r="AM30" t="str">
            <v>MAC DUFF (IE) CO</v>
          </cell>
          <cell r="AN30">
            <v>39648</v>
          </cell>
        </row>
        <row r="31">
          <cell r="A31">
            <v>28</v>
          </cell>
          <cell r="B31" t="str">
            <v>URANIE DE LA BUTTE</v>
          </cell>
          <cell r="C31" t="str">
            <v>2F</v>
          </cell>
          <cell r="D31" t="str">
            <v>CO</v>
          </cell>
          <cell r="F31" t="str">
            <v>MME CHRISTIANE XUFRE
61100 FLERS</v>
          </cell>
          <cell r="H31" t="str">
            <v>M. PINSON EMMANUEL
50750 ST SAMSON DE BONFOSSE</v>
          </cell>
          <cell r="U31">
            <v>0</v>
          </cell>
          <cell r="Z31">
            <v>0</v>
          </cell>
          <cell r="AG31">
            <v>0</v>
          </cell>
          <cell r="AI31">
            <v>0</v>
          </cell>
          <cell r="AJ31" t="str">
            <v>F</v>
          </cell>
          <cell r="AK31" t="str">
            <v>PILATUS DE VINCA (FR) CO</v>
          </cell>
          <cell r="AL31" t="str">
            <v>DIANA DE VICTOT (FR) CO</v>
          </cell>
          <cell r="AM31" t="str">
            <v>ABBEYLEIX APOLLO (IE) CO</v>
          </cell>
          <cell r="AN31">
            <v>39585</v>
          </cell>
        </row>
        <row r="32">
          <cell r="A32">
            <v>29</v>
          </cell>
          <cell r="B32" t="str">
            <v>UNIQUE DE CAUX</v>
          </cell>
          <cell r="C32" t="str">
            <v>2F</v>
          </cell>
          <cell r="D32" t="str">
            <v>POT</v>
          </cell>
          <cell r="F32" t="str">
            <v>MLLE ELISE LECOUVREUR
61150 BATILLY</v>
          </cell>
          <cell r="H32" t="str">
            <v>MLLE LECOUVREUR ELISE
61150 BATILLY</v>
          </cell>
          <cell r="U32">
            <v>0</v>
          </cell>
          <cell r="Z32">
            <v>0</v>
          </cell>
          <cell r="AG32">
            <v>0</v>
          </cell>
          <cell r="AI32">
            <v>0</v>
          </cell>
          <cell r="AJ32" t="str">
            <v>F</v>
          </cell>
          <cell r="AK32" t="str">
            <v>LANCER (DE) DRPON</v>
          </cell>
          <cell r="AL32" t="str">
            <v>QUOXINELLE DE CAUX (FR) POT</v>
          </cell>
          <cell r="AM32" t="str">
            <v>MAKILA (FR) POT</v>
          </cell>
          <cell r="AN32">
            <v>39539</v>
          </cell>
        </row>
        <row r="33">
          <cell r="A33">
            <v>30</v>
          </cell>
          <cell r="B33" t="str">
            <v>UPSY DE CAUX</v>
          </cell>
          <cell r="C33" t="str">
            <v>2F</v>
          </cell>
          <cell r="D33" t="str">
            <v>POT</v>
          </cell>
          <cell r="F33" t="str">
            <v>MLLE ELISE LECOUVREUR
61150 BATILLY</v>
          </cell>
          <cell r="H33" t="str">
            <v>MLLE LECOUVREUR ELISE
61150 BATILLY</v>
          </cell>
          <cell r="U33">
            <v>0</v>
          </cell>
          <cell r="Z33">
            <v>0</v>
          </cell>
          <cell r="AG33">
            <v>0</v>
          </cell>
          <cell r="AI33">
            <v>0</v>
          </cell>
          <cell r="AJ33" t="str">
            <v>F</v>
          </cell>
          <cell r="AK33" t="str">
            <v>ORIZON DE CAUX (FR) POT</v>
          </cell>
          <cell r="AL33" t="str">
            <v>PIKALDI DE CAUX (FR) POT</v>
          </cell>
          <cell r="AM33" t="str">
            <v>AINHOA AHKARAD (FR) AR</v>
          </cell>
          <cell r="AN33">
            <v>39562</v>
          </cell>
        </row>
        <row r="34">
          <cell r="A34">
            <v>31</v>
          </cell>
          <cell r="B34" t="str">
            <v>UXAMINE DE CAUX</v>
          </cell>
          <cell r="C34" t="str">
            <v>2F</v>
          </cell>
          <cell r="D34" t="str">
            <v>POT</v>
          </cell>
          <cell r="F34" t="str">
            <v>MLLE ELISE LECOUVREUR
61150 BATILLY</v>
          </cell>
          <cell r="H34" t="str">
            <v>MLLE LECOUVREUR ELISE
61150 BATILLY</v>
          </cell>
          <cell r="U34">
            <v>0</v>
          </cell>
          <cell r="Z34">
            <v>0</v>
          </cell>
          <cell r="AG34">
            <v>0</v>
          </cell>
          <cell r="AI34">
            <v>0</v>
          </cell>
          <cell r="AJ34" t="str">
            <v>F</v>
          </cell>
          <cell r="AK34" t="str">
            <v>QIN MURGIKOA (FR) POT</v>
          </cell>
          <cell r="AL34" t="str">
            <v>PINTTOLINO (FR) POT</v>
          </cell>
          <cell r="AM34" t="str">
            <v>LURGORY (FR) POT</v>
          </cell>
          <cell r="AN34">
            <v>39565</v>
          </cell>
        </row>
        <row r="35">
          <cell r="A35">
            <v>32</v>
          </cell>
          <cell r="B35" t="str">
            <v>HELAWI NICOTIANA SNOW POP</v>
          </cell>
          <cell r="C35" t="str">
            <v>2F</v>
          </cell>
          <cell r="D35" t="str">
            <v>SHE</v>
          </cell>
          <cell r="F35" t="str">
            <v>MLLE ELISE LECOUVREUR
61150 BATILLY</v>
          </cell>
          <cell r="H35" t="str">
            <v>HELAWI SHETLANDS
</v>
          </cell>
          <cell r="U35">
            <v>0</v>
          </cell>
          <cell r="Z35">
            <v>0</v>
          </cell>
          <cell r="AG35">
            <v>0</v>
          </cell>
          <cell r="AI35">
            <v>0</v>
          </cell>
          <cell r="AJ35" t="str">
            <v>F</v>
          </cell>
          <cell r="AK35" t="str">
            <v>HELAWIS NICOTIANA DOMINO () SHE</v>
          </cell>
          <cell r="AL35" t="str">
            <v>LAKEHEAD ENJOYMENT () SHE</v>
          </cell>
          <cell r="AM35" t="str">
            <v>WELLS HEADLINE () SHE</v>
          </cell>
          <cell r="AN35">
            <v>39566</v>
          </cell>
        </row>
        <row r="36">
          <cell r="A36">
            <v>33</v>
          </cell>
          <cell r="B36" t="str">
            <v>HELAWI ROSELLA BERRY</v>
          </cell>
          <cell r="C36" t="str">
            <v>2F</v>
          </cell>
          <cell r="D36" t="str">
            <v>SHE</v>
          </cell>
          <cell r="F36" t="str">
            <v>MLLE ELISE LECOUVREUR
61150 BATILLY</v>
          </cell>
          <cell r="H36" t="str">
            <v>HELAWI SHETLANDS
</v>
          </cell>
          <cell r="U36">
            <v>0</v>
          </cell>
          <cell r="Z36">
            <v>0</v>
          </cell>
          <cell r="AG36">
            <v>0</v>
          </cell>
          <cell r="AI36">
            <v>0</v>
          </cell>
          <cell r="AJ36" t="str">
            <v>F</v>
          </cell>
          <cell r="AK36" t="str">
            <v>HELAWIS NICOTIANA DOMINO () SHE</v>
          </cell>
          <cell r="AL36" t="str">
            <v>BLACKERTOR DILLYS () SHE</v>
          </cell>
          <cell r="AM36" t="str">
            <v>TINY OF NOOK () SHE</v>
          </cell>
          <cell r="AN36">
            <v>39597</v>
          </cell>
        </row>
        <row r="37">
          <cell r="A37">
            <v>34</v>
          </cell>
          <cell r="B37" t="str">
            <v>ULEPSY DE CABUE</v>
          </cell>
          <cell r="C37" t="str">
            <v>2F</v>
          </cell>
          <cell r="D37" t="str">
            <v>SHE</v>
          </cell>
          <cell r="F37" t="str">
            <v>MME DELPHINE VOROBIEFF
14700 ST MARTIN DE MIEUX</v>
          </cell>
          <cell r="H37" t="str">
            <v>MME POISSON-MAIGNAN VERONIQUE
61240 NONANT LE PIN</v>
          </cell>
          <cell r="U37">
            <v>0</v>
          </cell>
          <cell r="Z37">
            <v>0</v>
          </cell>
          <cell r="AG37">
            <v>0</v>
          </cell>
          <cell r="AI37">
            <v>0</v>
          </cell>
          <cell r="AJ37" t="str">
            <v>F</v>
          </cell>
          <cell r="AK37" t="str">
            <v>KERSWELL SUNDOWN (GB) SHE</v>
          </cell>
          <cell r="AL37" t="str">
            <v>BADENSCOTH SB VICUNA TUFT (GB) SHE</v>
          </cell>
          <cell r="AM37" t="str">
            <v>SEVA SUNNY BOY () SHE</v>
          </cell>
          <cell r="AN37">
            <v>39613</v>
          </cell>
        </row>
        <row r="38">
          <cell r="A38">
            <v>35</v>
          </cell>
          <cell r="B38" t="str">
            <v>UNOFELLE DE CABUE</v>
          </cell>
          <cell r="C38" t="str">
            <v>2F</v>
          </cell>
          <cell r="D38" t="str">
            <v>SHE</v>
          </cell>
          <cell r="F38" t="str">
            <v>S.C.E.A. LES TERRES NOIRES
61240 NONANT LE PIN</v>
          </cell>
          <cell r="H38" t="str">
            <v>MME POISSON-MAIGNAN VERONIQUE
61240 NONANT LE PIN</v>
          </cell>
          <cell r="U38">
            <v>0</v>
          </cell>
          <cell r="Z38">
            <v>0</v>
          </cell>
          <cell r="AG38">
            <v>0</v>
          </cell>
          <cell r="AI38">
            <v>0</v>
          </cell>
          <cell r="AJ38" t="str">
            <v>F</v>
          </cell>
          <cell r="AK38" t="str">
            <v>TIMMY V STAL CHANILLE (NL) SHE</v>
          </cell>
          <cell r="AL38" t="str">
            <v>KIMBERLEY V STAL WILBRI (NL) SHE</v>
          </cell>
          <cell r="AM38" t="str">
            <v>BARTJE VD BERKENHOF (NL) SHE</v>
          </cell>
          <cell r="AN38">
            <v>39559</v>
          </cell>
        </row>
        <row r="39">
          <cell r="A39">
            <v>37</v>
          </cell>
          <cell r="B39" t="str">
            <v>URSULA DE CABUE</v>
          </cell>
          <cell r="C39" t="str">
            <v>2F</v>
          </cell>
          <cell r="D39" t="str">
            <v>SHE</v>
          </cell>
          <cell r="F39" t="str">
            <v>S.C.E.A. LES TERRES NOIRES
61240 NONANT LE PIN</v>
          </cell>
          <cell r="H39" t="str">
            <v>MME POISSON-MAIGNAN VERONIQUE
61240 NONANT LE PIN</v>
          </cell>
          <cell r="U39">
            <v>0</v>
          </cell>
          <cell r="Z39">
            <v>0</v>
          </cell>
          <cell r="AG39">
            <v>0</v>
          </cell>
          <cell r="AI39">
            <v>0</v>
          </cell>
          <cell r="AJ39" t="str">
            <v>F</v>
          </cell>
          <cell r="AK39" t="str">
            <v>KERSWELL SUNDOWN (GB) SHE</v>
          </cell>
          <cell r="AL39" t="str">
            <v>PETALE DU MAUGARNAUD (FR) SHE</v>
          </cell>
          <cell r="AM39" t="str">
            <v>CAESPAR V SHUERACHER () SHE</v>
          </cell>
          <cell r="AN39">
            <v>39563</v>
          </cell>
        </row>
      </sheetData>
      <sheetData sheetId="7">
        <row r="4">
          <cell r="A4">
            <v>36</v>
          </cell>
          <cell r="B4" t="str">
            <v>ORLY DE LA TUILERIE</v>
          </cell>
          <cell r="C4" t="str">
            <v>SHE</v>
          </cell>
          <cell r="D4" t="str">
            <v>SHE</v>
          </cell>
          <cell r="F4" t="str">
            <v>MME DELPHINE VOROBIEFF
14700 ST MARTIN DE MIEUX</v>
          </cell>
          <cell r="H4" t="str">
            <v>MME RONDIER GISELE
03380 ST MARTINIEN</v>
          </cell>
          <cell r="U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E4">
            <v>0</v>
          </cell>
          <cell r="AF4" t="str">
            <v>F</v>
          </cell>
          <cell r="AG4" t="str">
            <v>DUC DE VERBOUX (FR) SHE</v>
          </cell>
          <cell r="AH4" t="str">
            <v>URPHA DES FOLTIERS (FR) SHE</v>
          </cell>
          <cell r="AJ4" t="str">
            <v>ALIZEE DE BEAUMONT SHE</v>
          </cell>
          <cell r="AK4" t="str">
            <v>QUINCY DE CABUE SHE</v>
          </cell>
          <cell r="AP4">
            <v>0</v>
          </cell>
          <cell r="AT4">
            <v>0</v>
          </cell>
          <cell r="AU4">
            <v>0</v>
          </cell>
          <cell r="AV4">
            <v>0</v>
          </cell>
        </row>
        <row r="5">
          <cell r="A5">
            <v>38</v>
          </cell>
          <cell r="B5" t="str">
            <v>EVER DE GARENNE</v>
          </cell>
          <cell r="C5" t="str">
            <v>CO</v>
          </cell>
          <cell r="D5" t="str">
            <v>CO</v>
          </cell>
          <cell r="F5" t="str">
            <v>E.A.R.L. DU MILON
27300 BERNAY</v>
          </cell>
          <cell r="H5" t="str">
            <v>M. NEMES MICHEL
60112 TROISSEREUX</v>
          </cell>
          <cell r="U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E5">
            <v>0</v>
          </cell>
          <cell r="AG5" t="str">
            <v>ASHFIELD AENGUS (IE) CO</v>
          </cell>
          <cell r="AH5" t="str">
            <v>ANTILOPE DU RUERE (FR) CO</v>
          </cell>
          <cell r="AJ5" t="str">
            <v>*NOM INCONNU* </v>
          </cell>
          <cell r="AK5" t="str">
            <v>SIMOUN DE RAVARY CO</v>
          </cell>
          <cell r="AP5">
            <v>0</v>
          </cell>
          <cell r="AT5">
            <v>0</v>
          </cell>
          <cell r="AU5">
            <v>0</v>
          </cell>
          <cell r="AV5">
            <v>0</v>
          </cell>
        </row>
        <row r="6">
          <cell r="A6">
            <v>39</v>
          </cell>
          <cell r="B6" t="str">
            <v>HELIANTHE DU VILLON</v>
          </cell>
          <cell r="C6" t="str">
            <v>CO</v>
          </cell>
          <cell r="D6" t="str">
            <v>CO</v>
          </cell>
          <cell r="F6" t="str">
            <v>M. SEBASTIEN MAILLET
61290 LA LANDE SUR EURE</v>
          </cell>
          <cell r="H6" t="str">
            <v>M. FRANCHE JEAN-MARIE
75009 PARIS 09
MME FRANCHE FABIENNE
75009 PARIS 09</v>
          </cell>
          <cell r="U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E6">
            <v>0</v>
          </cell>
          <cell r="AG6" t="str">
            <v>QUIGNON DU PARC (FR) CO</v>
          </cell>
          <cell r="AH6" t="str">
            <v>DALKEY DU VILLON (FR) CO</v>
          </cell>
          <cell r="AJ6" t="str">
            <v>*NOM INCONNU* </v>
          </cell>
          <cell r="AK6" t="str">
            <v>POETIC JUSTICE CO</v>
          </cell>
          <cell r="AP6">
            <v>0</v>
          </cell>
          <cell r="AT6">
            <v>0</v>
          </cell>
          <cell r="AU6">
            <v>0</v>
          </cell>
          <cell r="AV6">
            <v>0</v>
          </cell>
        </row>
        <row r="7">
          <cell r="A7">
            <v>40</v>
          </cell>
          <cell r="B7" t="str">
            <v>KILINA ALUINN</v>
          </cell>
          <cell r="C7" t="str">
            <v>CO</v>
          </cell>
          <cell r="D7" t="str">
            <v>CO</v>
          </cell>
          <cell r="F7" t="str">
            <v>M. SEBASTIEN MAILLET
61290 LA LANDE SUR EURE</v>
          </cell>
          <cell r="H7" t="str">
            <v>MME BOLZE CHASSIGNEUX SOPHIE
45240 MARCILLY EN VILLETTE</v>
          </cell>
          <cell r="U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E7">
            <v>0</v>
          </cell>
          <cell r="AF7" t="str">
            <v>M</v>
          </cell>
          <cell r="AG7" t="str">
            <v>THUNDER DU BLIN (FR) CO</v>
          </cell>
          <cell r="AH7" t="str">
            <v>ORCHID ALUINN (FR) CO</v>
          </cell>
          <cell r="AJ7" t="str">
            <v>ALAN PARSON DU PENA OC</v>
          </cell>
          <cell r="AK7" t="str">
            <v>QUITE EASY HOLST</v>
          </cell>
          <cell r="AP7">
            <v>0</v>
          </cell>
          <cell r="AT7">
            <v>0</v>
          </cell>
          <cell r="AU7">
            <v>0</v>
          </cell>
          <cell r="AV7">
            <v>0</v>
          </cell>
        </row>
        <row r="8">
          <cell r="A8">
            <v>41</v>
          </cell>
          <cell r="B8" t="str">
            <v>KININE DU PEUTI</v>
          </cell>
          <cell r="C8" t="str">
            <v>CO</v>
          </cell>
          <cell r="D8" t="str">
            <v>CO</v>
          </cell>
          <cell r="F8" t="str">
            <v>S.C.E.A. ELEVAGE DES TREFLES
14710 MANDEVILLE EN BESSIN</v>
          </cell>
          <cell r="H8" t="str">
            <v>M. MIGNOT FRANCOIS
72460 SAVIGNE L EVEQUE</v>
          </cell>
          <cell r="U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E8">
            <v>0</v>
          </cell>
          <cell r="AF8" t="str">
            <v>F</v>
          </cell>
          <cell r="AG8" t="str">
            <v>APOLLON PONDY (FR) CO</v>
          </cell>
          <cell r="AH8" t="str">
            <v>GALINA (IE) CO</v>
          </cell>
          <cell r="AJ8" t="str">
            <v>ALLYOUNEED ISA CLOVER CO</v>
          </cell>
          <cell r="AK8" t="str">
            <v>WESTIDE MIRAH II CO</v>
          </cell>
          <cell r="AP8">
            <v>0</v>
          </cell>
          <cell r="AT8">
            <v>0</v>
          </cell>
          <cell r="AU8">
            <v>0</v>
          </cell>
          <cell r="AV8">
            <v>0</v>
          </cell>
        </row>
        <row r="9">
          <cell r="A9">
            <v>42</v>
          </cell>
          <cell r="B9" t="str">
            <v>LOU DU GRAND CHABLE</v>
          </cell>
          <cell r="C9" t="str">
            <v>CO</v>
          </cell>
          <cell r="D9" t="str">
            <v>CO</v>
          </cell>
          <cell r="F9" t="str">
            <v>S.C.E.A. D' ORLOV
61440 MESSEI</v>
          </cell>
          <cell r="H9" t="str">
            <v>MME MAUNOURY FABIENNE
61700 LA HAUTE CHAPELLE</v>
          </cell>
          <cell r="U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E9">
            <v>0</v>
          </cell>
          <cell r="AF9" t="str">
            <v>F</v>
          </cell>
          <cell r="AG9" t="str">
            <v>MERELY MONARCH (FR) CO</v>
          </cell>
          <cell r="AH9" t="str">
            <v>ULAH D'AGON (FR) CO</v>
          </cell>
          <cell r="AJ9" t="str">
            <v>ARIKARAS D'ORLOV PFS</v>
          </cell>
          <cell r="AK9" t="str">
            <v>RAMBO NF</v>
          </cell>
          <cell r="AP9">
            <v>0</v>
          </cell>
          <cell r="AT9">
            <v>0</v>
          </cell>
          <cell r="AU9">
            <v>0</v>
          </cell>
          <cell r="AV9">
            <v>0</v>
          </cell>
        </row>
        <row r="10">
          <cell r="A10">
            <v>43</v>
          </cell>
          <cell r="B10" t="str">
            <v>LUCY SCHUERACHER</v>
          </cell>
          <cell r="C10" t="str">
            <v>CO</v>
          </cell>
          <cell r="D10" t="str">
            <v>CO</v>
          </cell>
          <cell r="F10" t="str">
            <v>S.C.E.A. LES TERRES NOIRES
61240 NONANT LE PIN</v>
          </cell>
          <cell r="H10" t="str">
            <v>MLLE HELD YVONNE
03460 AUROUER</v>
          </cell>
          <cell r="U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E10">
            <v>0</v>
          </cell>
          <cell r="AF10" t="str">
            <v>M</v>
          </cell>
          <cell r="AG10" t="str">
            <v>CHEVIOT MIDAS (GB) CO</v>
          </cell>
          <cell r="AH10" t="str">
            <v>SHIPTON ATLANTIC BLUE (GB) CO</v>
          </cell>
          <cell r="AJ10" t="str">
            <v>AULIBAN DE CABUE CO</v>
          </cell>
          <cell r="AK10" t="str">
            <v>FRICOTIN CO</v>
          </cell>
          <cell r="AP10">
            <v>0</v>
          </cell>
          <cell r="AT10">
            <v>0</v>
          </cell>
          <cell r="AU10">
            <v>0</v>
          </cell>
          <cell r="AV10">
            <v>0</v>
          </cell>
        </row>
        <row r="11">
          <cell r="A11">
            <v>44</v>
          </cell>
          <cell r="B11" t="str">
            <v>NUANCE D'AZUR</v>
          </cell>
          <cell r="C11" t="str">
            <v>CO</v>
          </cell>
          <cell r="D11" t="str">
            <v>CO</v>
          </cell>
          <cell r="F11" t="str">
            <v>MME CATHERINE POIRIER
61210 CHAMPCERIE</v>
          </cell>
          <cell r="H11" t="str">
            <v>M. ROZZONELLI SERGE
44840 LES SORINIERES
MME AVRIL CATHERINE
44840 LES SORINIERES</v>
          </cell>
          <cell r="U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E11">
            <v>0</v>
          </cell>
          <cell r="AF11" t="str">
            <v>F</v>
          </cell>
          <cell r="AG11" t="str">
            <v>APOLLON PONDY (FR) CO</v>
          </cell>
          <cell r="AH11" t="str">
            <v>ISIS DLA PLAT (FR) CO</v>
          </cell>
          <cell r="AJ11" t="str">
            <v>AZUR TOURNERIE PFS</v>
          </cell>
          <cell r="AK11" t="str">
            <v>QUENZO D'AZUR PFS</v>
          </cell>
          <cell r="AP11">
            <v>0</v>
          </cell>
          <cell r="AT11">
            <v>0</v>
          </cell>
          <cell r="AU11">
            <v>0</v>
          </cell>
          <cell r="AV11">
            <v>0</v>
          </cell>
        </row>
        <row r="12">
          <cell r="A12">
            <v>45</v>
          </cell>
          <cell r="B12" t="str">
            <v>ONDEE DE VERRIERES</v>
          </cell>
          <cell r="C12" t="str">
            <v>CO</v>
          </cell>
          <cell r="D12" t="str">
            <v>CO</v>
          </cell>
          <cell r="F12" t="str">
            <v>MLLE JULIE LAJOIE
61380 MAHERU</v>
          </cell>
          <cell r="H12" t="str">
            <v>MME NOISETTE LAURENCE
14320 ST MARTIN DE FONTENAY</v>
          </cell>
          <cell r="U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E12">
            <v>0</v>
          </cell>
          <cell r="AF12" t="str">
            <v>M</v>
          </cell>
          <cell r="AG12" t="str">
            <v>ELOI IV (FR) CO</v>
          </cell>
          <cell r="AH12" t="str">
            <v>KERINA DE LAUNAY (FR) CO</v>
          </cell>
          <cell r="AJ12" t="str">
            <v>AZKABAN DE VIC CO</v>
          </cell>
          <cell r="AK12" t="str">
            <v>LOUP YES TU TARTIFUME CO</v>
          </cell>
          <cell r="AP12">
            <v>0</v>
          </cell>
          <cell r="AT12">
            <v>0</v>
          </cell>
          <cell r="AU12">
            <v>0</v>
          </cell>
          <cell r="AV12">
            <v>0</v>
          </cell>
        </row>
        <row r="13">
          <cell r="A13">
            <v>46</v>
          </cell>
          <cell r="B13" t="str">
            <v>PEPSIE DU MILON</v>
          </cell>
          <cell r="C13" t="str">
            <v>CO</v>
          </cell>
          <cell r="D13" t="str">
            <v>CO</v>
          </cell>
          <cell r="F13" t="str">
            <v>E.A.R.L. DU MILON
27300 BERNAY</v>
          </cell>
          <cell r="H13" t="str">
            <v>MILON E.A.R.L. DU
27300 BERNAY</v>
          </cell>
          <cell r="U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E13">
            <v>0</v>
          </cell>
          <cell r="AG13" t="str">
            <v>NAUGHTY VAN GRAAF JANSHOF (NL) CO</v>
          </cell>
          <cell r="AH13" t="str">
            <v>USTIE (FR) CO</v>
          </cell>
          <cell r="AJ13" t="str">
            <v>*NOM INCONNU* </v>
          </cell>
          <cell r="AK13" t="str">
            <v>PODIUM DU MILON CO</v>
          </cell>
          <cell r="AP13">
            <v>0</v>
          </cell>
          <cell r="AT13">
            <v>0</v>
          </cell>
          <cell r="AU13">
            <v>0</v>
          </cell>
          <cell r="AV13">
            <v>0</v>
          </cell>
        </row>
        <row r="14">
          <cell r="A14">
            <v>47</v>
          </cell>
          <cell r="B14" t="str">
            <v>NIRVANA SCHURACKER</v>
          </cell>
          <cell r="C14" t="str">
            <v>SHE</v>
          </cell>
          <cell r="D14" t="str">
            <v>SHE</v>
          </cell>
          <cell r="F14" t="str">
            <v>S.C.E.A. LES TERRES NOIRES
61240 NONANT LE PIN</v>
          </cell>
          <cell r="H14" t="str">
            <v>MLLE HELD YVONNE
03460 AUROUER</v>
          </cell>
          <cell r="U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E14">
            <v>0</v>
          </cell>
          <cell r="AF14" t="str">
            <v>F</v>
          </cell>
          <cell r="AG14" t="str">
            <v>LARGO VAN SPUITJESDOM (NL) SHE</v>
          </cell>
          <cell r="AH14" t="str">
            <v>FIFOLA VD BUKE (NL) SHE</v>
          </cell>
          <cell r="AJ14" t="str">
            <v>ASTREE DE CABUE SHE</v>
          </cell>
          <cell r="AK14" t="str">
            <v>RIALTO DES GIRARDS SHE</v>
          </cell>
          <cell r="AP14">
            <v>0</v>
          </cell>
          <cell r="AT14">
            <v>0</v>
          </cell>
          <cell r="AU14">
            <v>0</v>
          </cell>
          <cell r="AV14">
            <v>0</v>
          </cell>
        </row>
        <row r="15">
          <cell r="A15">
            <v>48</v>
          </cell>
          <cell r="B15" t="str">
            <v>MATHILDE VD ALLOYSEHOEVE</v>
          </cell>
          <cell r="C15" t="str">
            <v>SHE</v>
          </cell>
          <cell r="D15" t="str">
            <v>SHE</v>
          </cell>
          <cell r="F15" t="str">
            <v>MLLE ELISE LECOUVREUR
61150 BATILLY</v>
          </cell>
          <cell r="H15" t="str">
            <v>M. ALLOYSE HOEVE
M. AARTS BOS
</v>
          </cell>
          <cell r="U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E15">
            <v>0</v>
          </cell>
          <cell r="AF15" t="str">
            <v>F</v>
          </cell>
          <cell r="AG15" t="str">
            <v>HERWIN V HAINK () SHE</v>
          </cell>
          <cell r="AH15" t="str">
            <v>CAROLIENTJE VD HEUL () SHE</v>
          </cell>
          <cell r="AJ15" t="str">
            <v>ARKENCIELLE DE CAUX SHE</v>
          </cell>
          <cell r="AK15" t="str">
            <v>PRINZ DE LA CLAIRIERE SHE</v>
          </cell>
          <cell r="AP15">
            <v>0</v>
          </cell>
          <cell r="AT15">
            <v>0</v>
          </cell>
          <cell r="AU15">
            <v>0</v>
          </cell>
          <cell r="AV15">
            <v>0</v>
          </cell>
        </row>
        <row r="16">
          <cell r="A16">
            <v>49</v>
          </cell>
          <cell r="B16" t="str">
            <v>MARISKA V BLANKWATER</v>
          </cell>
          <cell r="C16" t="str">
            <v>SHE</v>
          </cell>
          <cell r="D16" t="str">
            <v>SHE</v>
          </cell>
          <cell r="F16" t="str">
            <v>S.C.E.A. LES TERRES NOIRES
61240 NONANT LE PIN</v>
          </cell>
          <cell r="H16" t="str">
            <v>M. J. JASPAR
</v>
          </cell>
          <cell r="U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E16">
            <v>0</v>
          </cell>
          <cell r="AF16" t="str">
            <v>M</v>
          </cell>
          <cell r="AG16" t="str">
            <v>CHIRON V'T HOF (NL) SHE</v>
          </cell>
          <cell r="AH16" t="str">
            <v>HERALDINE VD BLOEMHOF (NL) SHE</v>
          </cell>
          <cell r="AJ16" t="str">
            <v>AMOS DE CABUE SHE</v>
          </cell>
          <cell r="AK16" t="str">
            <v>ROBIN DES MAUVIS SHE</v>
          </cell>
          <cell r="AP16">
            <v>0</v>
          </cell>
          <cell r="AT16">
            <v>0</v>
          </cell>
          <cell r="AU16">
            <v>0</v>
          </cell>
          <cell r="AV16">
            <v>0</v>
          </cell>
        </row>
        <row r="17">
          <cell r="A17">
            <v>50</v>
          </cell>
          <cell r="B17" t="str">
            <v>NETTY VD KEERSLUIS</v>
          </cell>
          <cell r="C17" t="str">
            <v>SHE</v>
          </cell>
          <cell r="D17" t="str">
            <v>SHE</v>
          </cell>
          <cell r="F17" t="str">
            <v>S.C.E.A. LES TERRES NOIRES
61240 NONANT LE PIN</v>
          </cell>
          <cell r="H17" t="str">
            <v>M. W.C. PANHUYZEN
</v>
          </cell>
          <cell r="U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E17">
            <v>0</v>
          </cell>
          <cell r="AF17" t="str">
            <v>F</v>
          </cell>
          <cell r="AG17" t="str">
            <v>INDO VD KUPER (NL) SHE</v>
          </cell>
          <cell r="AH17" t="str">
            <v>DEBBIE V'T VARENSCHUT (NL) SHE</v>
          </cell>
          <cell r="AJ17" t="str">
            <v>ATTY DE CABUE SHE</v>
          </cell>
          <cell r="AK17" t="str">
            <v>ROBIN DES MAUVIS SHE</v>
          </cell>
          <cell r="AP17">
            <v>0</v>
          </cell>
          <cell r="AT17">
            <v>0</v>
          </cell>
          <cell r="AU17">
            <v>0</v>
          </cell>
          <cell r="AV17">
            <v>0</v>
          </cell>
        </row>
        <row r="18">
          <cell r="A18">
            <v>51</v>
          </cell>
          <cell r="B18" t="str">
            <v>SHERRY VD PONDEROSAHOEVE</v>
          </cell>
          <cell r="C18" t="str">
            <v>SHE</v>
          </cell>
          <cell r="D18" t="str">
            <v>SHE</v>
          </cell>
          <cell r="F18" t="str">
            <v>S.C.E.A. LES TERRES NOIRES
61240 NONANT LE PIN</v>
          </cell>
          <cell r="H18" t="str">
            <v>M. E. TEUNISSEN WEYS
</v>
          </cell>
          <cell r="U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E18">
            <v>0</v>
          </cell>
          <cell r="AF18" t="str">
            <v>F</v>
          </cell>
          <cell r="AG18" t="str">
            <v>FRISO VD HEUVELSHOF () SHE</v>
          </cell>
          <cell r="AH18" t="str">
            <v>KAATJE WATERBRON () SHE</v>
          </cell>
          <cell r="AJ18" t="str">
            <v>APOLLONIA DE CABUE SHE</v>
          </cell>
          <cell r="AK18" t="str">
            <v>TALENT VD SLEUTEL SHE</v>
          </cell>
          <cell r="AP18">
            <v>0</v>
          </cell>
          <cell r="AT18">
            <v>0</v>
          </cell>
          <cell r="AU18">
            <v>0</v>
          </cell>
          <cell r="AV18">
            <v>0</v>
          </cell>
        </row>
        <row r="19">
          <cell r="A19">
            <v>52</v>
          </cell>
          <cell r="B19" t="str">
            <v>PHAEE DE CABUE</v>
          </cell>
          <cell r="C19" t="str">
            <v>SHE</v>
          </cell>
          <cell r="D19" t="str">
            <v>SHE</v>
          </cell>
          <cell r="F19" t="str">
            <v>S.C.E.A. LES TERRES NOIRES
61240 NONANT LE PIN</v>
          </cell>
          <cell r="H19" t="str">
            <v>MME POISSON-MAIGNAN VERONIQUE
61240 NONANT LE PIN</v>
          </cell>
          <cell r="U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E19">
            <v>0</v>
          </cell>
          <cell r="AF19" t="str">
            <v>M</v>
          </cell>
          <cell r="AG19" t="str">
            <v>NOIR V D NACHTEGAAL (NL) SHE</v>
          </cell>
          <cell r="AH19" t="str">
            <v>MARISKA V BLANKWATER (NL) SHE</v>
          </cell>
          <cell r="AJ19" t="str">
            <v>AMWAY DE CABUE SHE</v>
          </cell>
          <cell r="AK19" t="str">
            <v>ROBIN DES MAUVIS SHE</v>
          </cell>
          <cell r="AP19">
            <v>0</v>
          </cell>
          <cell r="AT19">
            <v>0</v>
          </cell>
          <cell r="AU19">
            <v>0</v>
          </cell>
          <cell r="AV19">
            <v>0</v>
          </cell>
        </row>
        <row r="20">
          <cell r="A20">
            <v>53</v>
          </cell>
          <cell r="B20" t="str">
            <v>TALENT V STAL VEROSA</v>
          </cell>
          <cell r="C20" t="str">
            <v>SHE</v>
          </cell>
          <cell r="D20" t="str">
            <v>SHE</v>
          </cell>
          <cell r="F20" t="str">
            <v>S.C.E.A. LES TERRES NOIRES
61240 NONANT LE PIN</v>
          </cell>
          <cell r="H20" t="str">
            <v>M. H. ROUSSEN
</v>
          </cell>
          <cell r="U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E20">
            <v>0</v>
          </cell>
          <cell r="AF20" t="str">
            <v>F</v>
          </cell>
          <cell r="AG20" t="str">
            <v>JONAS V ST BUGGENUM (NL) SHE</v>
          </cell>
          <cell r="AH20" t="str">
            <v>KAMEE V STAL VEROSA (NL) SHE</v>
          </cell>
          <cell r="AJ20" t="str">
            <v>AQUETALE DE CABUE SHE</v>
          </cell>
          <cell r="AK20" t="str">
            <v>TALENT VD SLEUTEL SHE</v>
          </cell>
          <cell r="AP20">
            <v>0</v>
          </cell>
          <cell r="AT20">
            <v>0</v>
          </cell>
          <cell r="AU20">
            <v>0</v>
          </cell>
          <cell r="AV20">
            <v>0</v>
          </cell>
        </row>
        <row r="21">
          <cell r="A21">
            <v>54</v>
          </cell>
          <cell r="B21" t="str">
            <v>PALISS DE CABUE</v>
          </cell>
          <cell r="C21" t="str">
            <v>SHE</v>
          </cell>
          <cell r="D21" t="str">
            <v>SHE</v>
          </cell>
          <cell r="F21" t="str">
            <v>S.C.E.A. LES TERRES NOIRES
61240 NONANT LE PIN</v>
          </cell>
          <cell r="H21" t="str">
            <v>MME POISSON-MAIGNAN VERONIQUE
61240 NONANT LE PIN</v>
          </cell>
          <cell r="U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E21">
            <v>0</v>
          </cell>
          <cell r="AF21" t="str">
            <v>F</v>
          </cell>
          <cell r="AG21" t="str">
            <v>OPALIS DU THIL RIBERPRE (FR) SHE</v>
          </cell>
          <cell r="AH21" t="str">
            <v>ODESSA D'O (FR) SHE</v>
          </cell>
          <cell r="AJ21" t="str">
            <v>AMALTHEE DE CABUE SHE</v>
          </cell>
          <cell r="AK21" t="str">
            <v>TOMMIE VD SLEUTELHOF SHE</v>
          </cell>
          <cell r="AP21">
            <v>0</v>
          </cell>
          <cell r="AT21">
            <v>0</v>
          </cell>
          <cell r="AU21">
            <v>0</v>
          </cell>
          <cell r="AV21">
            <v>0</v>
          </cell>
        </row>
        <row r="22">
          <cell r="A22">
            <v>55</v>
          </cell>
          <cell r="B22" t="str">
            <v>QUINOA DE TEHEL</v>
          </cell>
          <cell r="C22" t="str">
            <v>SHE</v>
          </cell>
          <cell r="D22" t="str">
            <v>SHE</v>
          </cell>
          <cell r="F22" t="str">
            <v>S.C.E.A. LES TERRES NOIRES
61240 NONANT LE PIN</v>
          </cell>
          <cell r="H22" t="str">
            <v>MME PIAZZA ANNE-PIERRE
33610 CESTAS</v>
          </cell>
          <cell r="U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E22">
            <v>0</v>
          </cell>
          <cell r="AF22" t="str">
            <v>M</v>
          </cell>
          <cell r="AG22" t="str">
            <v>FALKI DE LA CLAIRIERE (FR) SHE</v>
          </cell>
          <cell r="AH22" t="str">
            <v>RIME DE SEUZAC (FR) SHE</v>
          </cell>
          <cell r="AJ22" t="str">
            <v>ASSILKY DE CABUE SHE</v>
          </cell>
          <cell r="AK22" t="str">
            <v>TOMMIE VD SLEUTELHOF SHE</v>
          </cell>
          <cell r="AP22">
            <v>0</v>
          </cell>
          <cell r="AT22">
            <v>0</v>
          </cell>
          <cell r="AU22">
            <v>0</v>
          </cell>
          <cell r="AV22">
            <v>0</v>
          </cell>
        </row>
        <row r="23">
          <cell r="A23">
            <v>56</v>
          </cell>
          <cell r="B23" t="str">
            <v>FOUDRE DU BASBERG</v>
          </cell>
          <cell r="C23" t="str">
            <v>PFSA</v>
          </cell>
          <cell r="D23" t="str">
            <v>CS</v>
          </cell>
          <cell r="F23" t="str">
            <v>M. ARNAUD BONVALET
27170 BEAUMONTEL</v>
          </cell>
          <cell r="H23" t="str">
            <v>M. MEYER JACKY
67330 BOUXWILLER</v>
          </cell>
          <cell r="U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E23">
            <v>0</v>
          </cell>
          <cell r="AG23" t="str">
            <v>REX (FR) *AA*</v>
          </cell>
          <cell r="AH23" t="str">
            <v>VALY DE NIEDER (FR) PO</v>
          </cell>
          <cell r="AJ23" t="str">
            <v>*NOM INCONNU* </v>
          </cell>
          <cell r="AK23" t="str">
            <v>DAFYDD DE L'ARCHE WD</v>
          </cell>
          <cell r="AP23">
            <v>0</v>
          </cell>
          <cell r="AT23">
            <v>0</v>
          </cell>
          <cell r="AU23">
            <v>0</v>
          </cell>
          <cell r="AV23">
            <v>0</v>
          </cell>
        </row>
        <row r="24">
          <cell r="A24">
            <v>57</v>
          </cell>
          <cell r="B24" t="str">
            <v>FANTAZIA DU LOUP</v>
          </cell>
          <cell r="C24" t="str">
            <v>PFSA</v>
          </cell>
          <cell r="D24" t="str">
            <v>PFS</v>
          </cell>
          <cell r="F24" t="str">
            <v>MME CARINA CHIESA
61360 PERVENCHERES</v>
          </cell>
          <cell r="H24" t="str">
            <v>M. LECLERCQ JACQUES
77440 VENDREST</v>
          </cell>
          <cell r="U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E24">
            <v>0</v>
          </cell>
          <cell r="AF24" t="str">
            <v>M</v>
          </cell>
          <cell r="AG24" t="str">
            <v>BALADIN DE PIBOUL (FR) AR</v>
          </cell>
          <cell r="AH24" t="str">
            <v>RIGEL DU LOUP (FR) PFS</v>
          </cell>
          <cell r="AJ24" t="str">
            <v>AZYMUS DU BOURDON PFS</v>
          </cell>
          <cell r="AK24" t="str">
            <v>ROYAL ARONN DU VASSAL PFS</v>
          </cell>
          <cell r="AP24">
            <v>0</v>
          </cell>
          <cell r="AT24">
            <v>0</v>
          </cell>
          <cell r="AU24">
            <v>0</v>
          </cell>
          <cell r="AV24">
            <v>0</v>
          </cell>
        </row>
        <row r="25">
          <cell r="A25">
            <v>58</v>
          </cell>
          <cell r="B25" t="str">
            <v>HELICE DE LA BIGNE</v>
          </cell>
          <cell r="C25" t="str">
            <v>PFSA</v>
          </cell>
          <cell r="D25" t="str">
            <v>PFS</v>
          </cell>
          <cell r="F25" t="str">
            <v>M. JEAN-PIERRE MURIER
50210 BELVAL</v>
          </cell>
          <cell r="H25" t="str">
            <v>M. LENOIR MICHEL
50160 GIEVILLE</v>
          </cell>
          <cell r="U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E25">
            <v>0</v>
          </cell>
          <cell r="AG25" t="str">
            <v>COSMOS DE L'AUMONT (FR) NF</v>
          </cell>
          <cell r="AH25" t="str">
            <v>BENJAMINE IV (FR) PFS</v>
          </cell>
          <cell r="AJ25" t="str">
            <v>*NOM INCONNU* </v>
          </cell>
          <cell r="AK25" t="str">
            <v>ROUDOUDOU D'HURL'VENT PFS</v>
          </cell>
          <cell r="AP25">
            <v>0</v>
          </cell>
          <cell r="AT25">
            <v>0</v>
          </cell>
          <cell r="AU25">
            <v>0</v>
          </cell>
          <cell r="AV25">
            <v>0</v>
          </cell>
        </row>
        <row r="26">
          <cell r="A26">
            <v>59</v>
          </cell>
          <cell r="B26" t="str">
            <v>HABLINE LANDAISE</v>
          </cell>
          <cell r="C26" t="str">
            <v>PFSA</v>
          </cell>
          <cell r="D26" t="str">
            <v>PFS</v>
          </cell>
          <cell r="F26" t="str">
            <v>S.C.E.A. DE LA METAIRIE
50800 LA LANDE D AIROU</v>
          </cell>
          <cell r="H26" t="str">
            <v>MME EUDOXIE MICHELLE
50800 LA LANDE D AIROU</v>
          </cell>
          <cell r="U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E26">
            <v>0</v>
          </cell>
          <cell r="AF26" t="str">
            <v>F</v>
          </cell>
          <cell r="AG26" t="str">
            <v>POMPEI (FR) PFS</v>
          </cell>
          <cell r="AH26" t="str">
            <v>EYRIELLE (FR) PFS</v>
          </cell>
          <cell r="AJ26" t="str">
            <v>AQUARELLE LANDAI PFS</v>
          </cell>
          <cell r="AK26" t="str">
            <v>SELLIANY CANDY PFS</v>
          </cell>
          <cell r="AP26">
            <v>0</v>
          </cell>
          <cell r="AT26">
            <v>0</v>
          </cell>
          <cell r="AU26">
            <v>0</v>
          </cell>
          <cell r="AV26">
            <v>0</v>
          </cell>
        </row>
        <row r="27">
          <cell r="A27">
            <v>60</v>
          </cell>
          <cell r="B27" t="str">
            <v>HIOWA D'ORLOV</v>
          </cell>
          <cell r="C27" t="str">
            <v>PFSA</v>
          </cell>
          <cell r="D27" t="str">
            <v>PO</v>
          </cell>
          <cell r="F27" t="str">
            <v>S.C.E.A. D' ORLOV
61440 MESSEI</v>
          </cell>
          <cell r="H27" t="str">
            <v>M. CHENOT PHILIPPE
61440 MESSEI</v>
          </cell>
          <cell r="U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E27">
            <v>0</v>
          </cell>
          <cell r="AG27" t="str">
            <v>ARLEQUIN DE MESCAM (FR) CO</v>
          </cell>
          <cell r="AH27" t="str">
            <v>KELLY-DOINE (FR) CS</v>
          </cell>
          <cell r="AJ27" t="str">
            <v>*NOM INCONNU* </v>
          </cell>
          <cell r="AK27" t="str">
            <v>MAC GEYVER DRPON</v>
          </cell>
          <cell r="AP27">
            <v>0</v>
          </cell>
          <cell r="AT27">
            <v>0</v>
          </cell>
          <cell r="AU27">
            <v>0</v>
          </cell>
          <cell r="AV27">
            <v>0</v>
          </cell>
        </row>
        <row r="28">
          <cell r="A28">
            <v>61</v>
          </cell>
          <cell r="B28" t="str">
            <v>HERMINE DE COADOUT</v>
          </cell>
          <cell r="C28" t="str">
            <v>PFSA</v>
          </cell>
          <cell r="D28" t="str">
            <v>PFS</v>
          </cell>
          <cell r="F28" t="str">
            <v>MME AUDE JEANSON
27120 FONTAINE SOUS JOUY</v>
          </cell>
          <cell r="H28" t="str">
            <v>M. COUENNE FREDERIC
22540 TREGLAMUS</v>
          </cell>
          <cell r="U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E28">
            <v>0</v>
          </cell>
          <cell r="AF28" t="str">
            <v>F</v>
          </cell>
          <cell r="AG28" t="str">
            <v>KALEM (FR) AR</v>
          </cell>
          <cell r="AH28" t="str">
            <v>SUZY () PFS</v>
          </cell>
          <cell r="AJ28" t="str">
            <v>ARONN PRINCESS PFS</v>
          </cell>
          <cell r="AK28" t="str">
            <v>ROYAL ARONN DU VASSAL PFS</v>
          </cell>
          <cell r="AP28">
            <v>0</v>
          </cell>
          <cell r="AT28">
            <v>0</v>
          </cell>
          <cell r="AU28">
            <v>0</v>
          </cell>
          <cell r="AV28">
            <v>0</v>
          </cell>
        </row>
        <row r="29">
          <cell r="A29">
            <v>62</v>
          </cell>
          <cell r="B29" t="str">
            <v>ISEULT DE LA BUTTE</v>
          </cell>
          <cell r="C29" t="str">
            <v>PFSA</v>
          </cell>
          <cell r="D29" t="str">
            <v>PFS</v>
          </cell>
          <cell r="F29" t="str">
            <v>MME ANNIE LEGAGNEUX
50000 ST LO</v>
          </cell>
          <cell r="H29" t="str">
            <v>M. PINSON YANNICK
78600 MAISONS LAFFITTE</v>
          </cell>
          <cell r="U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E29">
            <v>0</v>
          </cell>
          <cell r="AF29" t="str">
            <v>F</v>
          </cell>
          <cell r="AG29" t="str">
            <v>VAZY DU VIERTOT (FR) PFS</v>
          </cell>
          <cell r="AH29" t="str">
            <v>CATTY DE LA BUTTE (FR) PFS</v>
          </cell>
          <cell r="AJ29" t="str">
            <v>AQUARELLE DE BECHEVEL PFS</v>
          </cell>
          <cell r="AK29" t="str">
            <v>RAMBO NF</v>
          </cell>
          <cell r="AP29">
            <v>0</v>
          </cell>
          <cell r="AT29">
            <v>0</v>
          </cell>
          <cell r="AU29">
            <v>0</v>
          </cell>
          <cell r="AV29">
            <v>0</v>
          </cell>
        </row>
        <row r="30">
          <cell r="A30">
            <v>63</v>
          </cell>
          <cell r="B30" t="str">
            <v>ISTAMINE DU MILON</v>
          </cell>
          <cell r="C30" t="str">
            <v>PFSA</v>
          </cell>
          <cell r="D30" t="str">
            <v>PFS</v>
          </cell>
          <cell r="F30" t="str">
            <v>E.A.R.L. DU MILON
27300 BERNAY</v>
          </cell>
          <cell r="H30" t="str">
            <v>MME GUERIN SYLVIE
27300 BERNAY
M. GUERIN LUC
27300 BERNAY</v>
          </cell>
          <cell r="U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E30">
            <v>0</v>
          </cell>
          <cell r="AG30" t="str">
            <v>ARLEQUIN DE MESCAM (FR) CO</v>
          </cell>
          <cell r="AH30" t="str">
            <v>UT DE BRIANCE (FR) SFA</v>
          </cell>
          <cell r="AJ30" t="str">
            <v>*NOM INCONNU* </v>
          </cell>
          <cell r="AK30" t="str">
            <v>MACHNO CARWYN WD</v>
          </cell>
          <cell r="AP30">
            <v>0</v>
          </cell>
          <cell r="AT30">
            <v>0</v>
          </cell>
          <cell r="AU30">
            <v>0</v>
          </cell>
          <cell r="AV30">
            <v>0</v>
          </cell>
        </row>
        <row r="31">
          <cell r="A31">
            <v>64</v>
          </cell>
          <cell r="B31" t="str">
            <v>LIBELLUNE DE PARIGNY</v>
          </cell>
          <cell r="C31" t="str">
            <v>PFSA</v>
          </cell>
          <cell r="D31" t="str">
            <v>PFS</v>
          </cell>
          <cell r="F31" t="str">
            <v>S.C.E.A. D' ORLOV
61440 MESSEI</v>
          </cell>
          <cell r="H31" t="str">
            <v>M. RINFERT JOEL
50600 PARIGNY</v>
          </cell>
          <cell r="U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E31">
            <v>0</v>
          </cell>
          <cell r="AF31" t="str">
            <v>F</v>
          </cell>
          <cell r="AG31" t="str">
            <v>CREOLE D'ANGRIE (FR) PFS</v>
          </cell>
          <cell r="AH31" t="str">
            <v>FALONNE (FR) PO</v>
          </cell>
          <cell r="AJ31" t="str">
            <v>ANDVARI D'ORLOV PFS</v>
          </cell>
          <cell r="AK31" t="str">
            <v>GALA DE MONTIEGE PFS</v>
          </cell>
          <cell r="AP31">
            <v>0</v>
          </cell>
          <cell r="AT31">
            <v>0</v>
          </cell>
          <cell r="AU31">
            <v>0</v>
          </cell>
          <cell r="AV31">
            <v>0</v>
          </cell>
        </row>
        <row r="32">
          <cell r="A32">
            <v>65</v>
          </cell>
          <cell r="B32" t="str">
            <v>MUSIQUE MAHOUD</v>
          </cell>
          <cell r="C32" t="str">
            <v>PFSA</v>
          </cell>
          <cell r="D32" t="str">
            <v>PFS</v>
          </cell>
          <cell r="F32" t="str">
            <v>M. REGIS REVEILLE
49300 CHOLET</v>
          </cell>
          <cell r="H32" t="str">
            <v>MME LANOIRE MARIE-DOMINIQUE
69720 ST BONNET DE MURE</v>
          </cell>
          <cell r="U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E32">
            <v>0</v>
          </cell>
          <cell r="AG32" t="str">
            <v>LINARO (DE) POET</v>
          </cell>
          <cell r="AH32" t="str">
            <v>RAPSODIE III (FR) PFS</v>
          </cell>
          <cell r="AJ32" t="str">
            <v>*NOM INCONNU* </v>
          </cell>
          <cell r="AK32" t="str">
            <v>QUOUTSOU PFS</v>
          </cell>
          <cell r="AP32">
            <v>0</v>
          </cell>
          <cell r="AT32">
            <v>0</v>
          </cell>
          <cell r="AU32">
            <v>0</v>
          </cell>
          <cell r="AV32">
            <v>0</v>
          </cell>
        </row>
        <row r="33">
          <cell r="A33">
            <v>66</v>
          </cell>
          <cell r="B33" t="str">
            <v>MYGALE DE FONTENAY</v>
          </cell>
          <cell r="C33" t="str">
            <v>PFSA</v>
          </cell>
          <cell r="D33" t="str">
            <v>PFS</v>
          </cell>
          <cell r="F33" t="str">
            <v>MME GWENAELLE TURPIN
14340 LE PRE D AUGE</v>
          </cell>
          <cell r="H33" t="str">
            <v>MME ANNE MARTINE
50310 FONTENAY SUR MER</v>
          </cell>
          <cell r="U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E33">
            <v>0</v>
          </cell>
          <cell r="AF33" t="str">
            <v>F</v>
          </cell>
          <cell r="AG33" t="str">
            <v>CREOLE D'ANGRIE (FR) PFS</v>
          </cell>
          <cell r="AH33" t="str">
            <v>EPOPEE DES CHOUANS (FR) PFS</v>
          </cell>
          <cell r="AJ33" t="str">
            <v>ADRENALINE DES ISLES PFS</v>
          </cell>
          <cell r="AK33" t="str">
            <v>RAMBO NF</v>
          </cell>
          <cell r="AP33">
            <v>0</v>
          </cell>
          <cell r="AT33">
            <v>0</v>
          </cell>
          <cell r="AU33">
            <v>0</v>
          </cell>
          <cell r="AV33">
            <v>0</v>
          </cell>
        </row>
        <row r="34">
          <cell r="A34">
            <v>67</v>
          </cell>
          <cell r="B34" t="str">
            <v>NAIADE DU LYS</v>
          </cell>
          <cell r="C34" t="str">
            <v>PFSA</v>
          </cell>
          <cell r="D34" t="str">
            <v>PFS</v>
          </cell>
          <cell r="F34" t="str">
            <v>M. MICHEL NEVEU
50560 GEFFOSSES</v>
          </cell>
          <cell r="H34" t="str">
            <v>M. NEVEU MICHEL
50560 GEFFOSSES</v>
          </cell>
          <cell r="U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E34">
            <v>0</v>
          </cell>
          <cell r="AF34" t="str">
            <v>M</v>
          </cell>
          <cell r="AG34" t="str">
            <v>CARAIBE (FR) PFS</v>
          </cell>
          <cell r="AH34" t="str">
            <v>URANIE DU RUET (FR) PFS</v>
          </cell>
          <cell r="AJ34" t="str">
            <v>ATTILA DE L'HEBER PFS</v>
          </cell>
          <cell r="AK34" t="str">
            <v>RAMBO NF</v>
          </cell>
          <cell r="AP34">
            <v>0</v>
          </cell>
          <cell r="AT34">
            <v>0</v>
          </cell>
          <cell r="AU34">
            <v>0</v>
          </cell>
          <cell r="AV34">
            <v>0</v>
          </cell>
        </row>
        <row r="35">
          <cell r="A35">
            <v>68</v>
          </cell>
          <cell r="B35" t="str">
            <v>OWANE DE CABUE</v>
          </cell>
          <cell r="C35" t="str">
            <v>PFSA</v>
          </cell>
          <cell r="D35" t="str">
            <v>PFS</v>
          </cell>
          <cell r="F35" t="str">
            <v>S.C.E.A. LES TERRES NOIRES
61240 NONANT LE PIN</v>
          </cell>
          <cell r="H35" t="str">
            <v>MME POISSON-MAIGNAN VERONIQUE
61240 NONANT LE PIN</v>
          </cell>
          <cell r="U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E35">
            <v>0</v>
          </cell>
          <cell r="AF35" t="str">
            <v>M</v>
          </cell>
          <cell r="AG35" t="str">
            <v>SIHAWAN (FR) AR</v>
          </cell>
          <cell r="AH35" t="str">
            <v>FANY DE JOLINIERE (FR) PFS</v>
          </cell>
          <cell r="AJ35" t="str">
            <v>AWALE DE CABUE PFS</v>
          </cell>
          <cell r="AK35" t="str">
            <v>FRICOTIN CO</v>
          </cell>
          <cell r="AP35">
            <v>0</v>
          </cell>
          <cell r="AT35">
            <v>0</v>
          </cell>
          <cell r="AU35">
            <v>0</v>
          </cell>
          <cell r="AV35">
            <v>0</v>
          </cell>
        </row>
        <row r="36">
          <cell r="A36">
            <v>69</v>
          </cell>
          <cell r="B36" t="str">
            <v>POMME NORMANDE</v>
          </cell>
          <cell r="C36" t="str">
            <v>PFAJ</v>
          </cell>
          <cell r="D36" t="str">
            <v>PFS</v>
          </cell>
          <cell r="F36" t="str">
            <v>M. PAUL LEROYER
53810 CHANGE</v>
          </cell>
          <cell r="H36" t="str">
            <v>M. LEROYER PAUL
53810 CHANGE</v>
          </cell>
          <cell r="U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E36">
            <v>0</v>
          </cell>
          <cell r="AF36" t="str">
            <v>F</v>
          </cell>
          <cell r="AG36" t="str">
            <v>KARISTO DE L'AUMONT (FR) PFS</v>
          </cell>
          <cell r="AH36" t="str">
            <v>BERCEUSE NORMANDE (FR) PFS</v>
          </cell>
          <cell r="AJ36" t="str">
            <v>AUBEPINE NORMANDE PFS</v>
          </cell>
          <cell r="AK36" t="str">
            <v>ARON N DRPON</v>
          </cell>
          <cell r="AP36">
            <v>0</v>
          </cell>
          <cell r="AT36">
            <v>0</v>
          </cell>
          <cell r="AU36">
            <v>0</v>
          </cell>
          <cell r="AV36">
            <v>0</v>
          </cell>
        </row>
        <row r="37">
          <cell r="A37">
            <v>70</v>
          </cell>
          <cell r="B37" t="str">
            <v>QUATY DE LOISEL</v>
          </cell>
          <cell r="C37" t="str">
            <v>PFAJ</v>
          </cell>
          <cell r="D37" t="str">
            <v>PFS</v>
          </cell>
          <cell r="F37" t="str">
            <v>M. ARNAUD BONVALET
27170 BEAUMONTEL</v>
          </cell>
          <cell r="H37" t="str">
            <v>M. PORET MICHEL
14380 MESNIL CLINCHAMPS</v>
          </cell>
          <cell r="U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E37">
            <v>0</v>
          </cell>
          <cell r="AF37" t="str">
            <v>F</v>
          </cell>
          <cell r="AG37" t="str">
            <v>KLINDOEIL DU VERGER (FR) PFS</v>
          </cell>
          <cell r="AH37" t="str">
            <v>FRIDA DE LOISEL (FR) PFS</v>
          </cell>
          <cell r="AJ37" t="str">
            <v>*NOM INCONNU* </v>
          </cell>
          <cell r="AK37" t="str">
            <v>VALDA DU TERREFORT WB</v>
          </cell>
          <cell r="AP37">
            <v>0</v>
          </cell>
          <cell r="AT37">
            <v>0</v>
          </cell>
          <cell r="AU37">
            <v>0</v>
          </cell>
          <cell r="AV37">
            <v>0</v>
          </cell>
        </row>
        <row r="38">
          <cell r="A38">
            <v>71</v>
          </cell>
          <cell r="B38" t="str">
            <v>RIVABELLA DE BESLAIS</v>
          </cell>
          <cell r="C38" t="str">
            <v>PFAJ</v>
          </cell>
          <cell r="D38" t="str">
            <v>PFS</v>
          </cell>
          <cell r="F38" t="str">
            <v>MME JOCELYNE MACRI
50570 LE LOREY</v>
          </cell>
          <cell r="H38" t="str">
            <v>MLLE LEPROVOST MAEVA
50810 ST JEAN DES BAISANTS</v>
          </cell>
          <cell r="U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E38">
            <v>0</v>
          </cell>
          <cell r="AG38" t="str">
            <v>KARISTO DE L'AUMONT (FR) PFS</v>
          </cell>
          <cell r="AH38" t="str">
            <v>HIDA DU VAST (FR) PFS</v>
          </cell>
          <cell r="AJ38" t="str">
            <v>*NOM INCONNU* </v>
          </cell>
          <cell r="AK38" t="str">
            <v>RAMBO NF</v>
          </cell>
          <cell r="AP38">
            <v>0</v>
          </cell>
          <cell r="AT38">
            <v>0</v>
          </cell>
          <cell r="AU38">
            <v>0</v>
          </cell>
          <cell r="AV38">
            <v>0</v>
          </cell>
        </row>
        <row r="39">
          <cell r="A39">
            <v>72</v>
          </cell>
          <cell r="B39" t="str">
            <v>SO EASY D'HARYNS</v>
          </cell>
          <cell r="C39" t="str">
            <v>PFAJ</v>
          </cell>
          <cell r="D39" t="str">
            <v>PFS</v>
          </cell>
          <cell r="F39" t="str">
            <v>MLLE LAURENCE FLICHY
92150 SURESNES</v>
          </cell>
          <cell r="H39" t="str">
            <v>MME LINARES ELISABETH DE
61340 ST JEAN DE LA FORET</v>
          </cell>
          <cell r="U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E39">
            <v>0</v>
          </cell>
          <cell r="AF39" t="str">
            <v>F</v>
          </cell>
          <cell r="AG39" t="str">
            <v>NAJISCO D'HARYNS (FR) PFS</v>
          </cell>
          <cell r="AH39" t="str">
            <v>O'FOLLE D'HARYNS (FR) PFS</v>
          </cell>
          <cell r="AJ39" t="str">
            <v>ALAFOLIE DU LORILLU PFS</v>
          </cell>
          <cell r="AK39" t="str">
            <v>QUOUTSOU PFS</v>
          </cell>
          <cell r="AP39">
            <v>0</v>
          </cell>
          <cell r="AT39">
            <v>0</v>
          </cell>
          <cell r="AU39">
            <v>0</v>
          </cell>
          <cell r="AV39">
            <v>0</v>
          </cell>
        </row>
        <row r="40">
          <cell r="A40">
            <v>73</v>
          </cell>
          <cell r="B40" t="str">
            <v>SITGESS DU LUY</v>
          </cell>
          <cell r="C40" t="str">
            <v>PFAJ</v>
          </cell>
          <cell r="D40" t="str">
            <v>PFS</v>
          </cell>
          <cell r="F40" t="str">
            <v>MLLE BERANGERE MOUROUX
50000 ST LO</v>
          </cell>
          <cell r="H40" t="str">
            <v>MLLE MOUROUX BERANGERE
50000 ST LO
MME MOUROUX MARIE-NOELLE
40360 DONZACQ</v>
          </cell>
          <cell r="U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E40">
            <v>0</v>
          </cell>
          <cell r="AF40" t="str">
            <v>F</v>
          </cell>
          <cell r="AG40" t="str">
            <v>THUNDER DU BLIN (FR) CO</v>
          </cell>
          <cell r="AH40" t="str">
            <v>HYSTERESIS DU LUY (FR) PFS</v>
          </cell>
          <cell r="AJ40" t="str">
            <v>*NOM INCONNU* </v>
          </cell>
          <cell r="AK40" t="str">
            <v>HELIOT DE BLONDE PFS</v>
          </cell>
          <cell r="AP40">
            <v>0</v>
          </cell>
          <cell r="AT40">
            <v>0</v>
          </cell>
          <cell r="AU40">
            <v>0</v>
          </cell>
          <cell r="AV40">
            <v>0</v>
          </cell>
        </row>
        <row r="41">
          <cell r="A41">
            <v>74</v>
          </cell>
          <cell r="B41" t="str">
            <v>SURPRISE DE CAUX</v>
          </cell>
          <cell r="C41" t="str">
            <v>POT</v>
          </cell>
          <cell r="D41" t="str">
            <v>POT</v>
          </cell>
          <cell r="F41" t="str">
            <v>MLLE ELISE LECOUVREUR
61150 BATILLY</v>
          </cell>
          <cell r="H41" t="str">
            <v>MLLE LECOUVREUR ELISE
61150 BATILLY</v>
          </cell>
          <cell r="U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E41">
            <v>0</v>
          </cell>
          <cell r="AF41" t="str">
            <v>M</v>
          </cell>
          <cell r="AG41" t="str">
            <v>LINARO (DE) POET</v>
          </cell>
          <cell r="AH41" t="str">
            <v>MAIKA DE LA NIVE (FR) POT</v>
          </cell>
          <cell r="AJ41" t="str">
            <v>APACHE DE CAUX POT</v>
          </cell>
          <cell r="AK41" t="str">
            <v>NEW LOOK POUNE'S POT</v>
          </cell>
          <cell r="AP41">
            <v>0</v>
          </cell>
          <cell r="AT41">
            <v>0</v>
          </cell>
          <cell r="AU41">
            <v>0</v>
          </cell>
          <cell r="AV41">
            <v>0</v>
          </cell>
        </row>
        <row r="42">
          <cell r="A42">
            <v>75</v>
          </cell>
          <cell r="B42" t="str">
            <v>TROIKA DE LA RHUNE</v>
          </cell>
          <cell r="C42" t="str">
            <v>POT</v>
          </cell>
          <cell r="D42" t="str">
            <v>POT</v>
          </cell>
          <cell r="F42" t="str">
            <v>MLLE ELISE LECOUVREUR
61150 BATILLY</v>
          </cell>
          <cell r="H42" t="str">
            <v>M. LOPEZ JEAN-MICHEL
64310 ASCAIN
MLLE LOPEZ MARIE-ODILE
64310 ASCAIN</v>
          </cell>
          <cell r="U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E42">
            <v>0</v>
          </cell>
          <cell r="AF42" t="str">
            <v>M</v>
          </cell>
          <cell r="AG42" t="str">
            <v>NAY LARHUN ASPIAN (FR) POT</v>
          </cell>
          <cell r="AH42" t="str">
            <v>ITZAL DE LA RHUNE (FR) POT</v>
          </cell>
          <cell r="AJ42" t="str">
            <v>AZIMUT DE CAUX POT</v>
          </cell>
          <cell r="AK42" t="str">
            <v>KOOIHUSTER TEAKE POET</v>
          </cell>
          <cell r="AP42">
            <v>0</v>
          </cell>
          <cell r="AT42">
            <v>0</v>
          </cell>
          <cell r="AU42">
            <v>0</v>
          </cell>
          <cell r="AV42">
            <v>0</v>
          </cell>
        </row>
        <row r="43">
          <cell r="U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E43">
            <v>0</v>
          </cell>
          <cell r="AP43">
            <v>0</v>
          </cell>
          <cell r="AT43">
            <v>0</v>
          </cell>
          <cell r="AU43">
            <v>0</v>
          </cell>
          <cell r="AV43">
            <v>0</v>
          </cell>
        </row>
        <row r="44">
          <cell r="U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E44">
            <v>0</v>
          </cell>
          <cell r="AP44">
            <v>0</v>
          </cell>
          <cell r="AT44">
            <v>0</v>
          </cell>
          <cell r="AU44">
            <v>0</v>
          </cell>
          <cell r="AV44">
            <v>0</v>
          </cell>
        </row>
        <row r="45">
          <cell r="U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E45">
            <v>0</v>
          </cell>
          <cell r="AP45">
            <v>0</v>
          </cell>
          <cell r="AT45">
            <v>0</v>
          </cell>
          <cell r="AU45">
            <v>0</v>
          </cell>
          <cell r="AV4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CS3A"/>
      <sheetName val="Moulinette3A"/>
      <sheetName val="Notes3A"/>
      <sheetName val="Horaires"/>
      <sheetName val="Pelotons"/>
      <sheetName val="Classements3A"/>
      <sheetName val="Par jury"/>
      <sheetName val="Fiche 3 ans"/>
      <sheetName val="Grilles"/>
    </sheetNames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3:AF26" sheet="Notes3A"/>
  </cacheSource>
  <cacheFields count="32">
    <cacheField name="N?">
      <sharedItems containsMixedTypes="1" containsNumber="1" containsInteger="1" count="76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s v="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</sharedItems>
    </cacheField>
    <cacheField name="Nom">
      <sharedItems containsMixedTypes="0" count="24">
        <s v="BYE BYE PARIS LE SAGE"/>
        <s v="BENEF DES BRIMBELLES"/>
        <s v="BOOSTER DE LA CROIX"/>
        <s v="BOSTON DES LONDES"/>
        <s v="BJORKO D'ORLOV"/>
        <s v="BOOMERANG RISLOIS"/>
        <s v="BLACK SWAN DU BUHOT"/>
        <s v="BORGUND D'ORLOV"/>
        <s v="BALDUR D'ORLOV"/>
        <s v="BEN DE VILLEE"/>
        <s v="BLUE JEANS"/>
        <s v="BIRTHDAY PARTY SQUARE"/>
        <s v="BE ICONIC SQUARE"/>
        <s v="BE A TEA ADDICT SQUAR"/>
        <s v="BARONE DE TAILLE"/>
        <s v="BETTY DU CLOS DRIEUX"/>
        <s v="BERENICE DE LOYE"/>
        <s v="BAZOOKA RISLOIS"/>
        <s v="BEAUTY ROCQ"/>
        <s v="BON DU TRESOR AU PENA"/>
        <s v="BRELAN D'AS"/>
        <s v="BELTAINE DEW CLADDAGH"/>
        <s v="BRIMBELLE DE CAZALS"/>
        <s v=""/>
      </sharedItems>
    </cacheField>
    <cacheField name="Section">
      <sharedItems containsBlank="1" containsMixedTypes="0" count="20">
        <s v="MB"/>
        <s v="MC"/>
        <s v="MD"/>
        <s v="HFB"/>
        <s v="HFD"/>
        <s v="HFE"/>
        <s v=""/>
        <s v="F&amp;H"/>
        <s v="H&amp;F B"/>
        <s v="H&amp;F C"/>
        <s v="H&amp;F D"/>
        <s v="HFA"/>
        <s v="HFC"/>
        <s v="M"/>
        <s v="M C"/>
        <s v="M D"/>
        <s v="M E"/>
        <s v="MA"/>
        <s v="ME"/>
        <m/>
      </sharedItems>
    </cacheField>
    <cacheField name="Race">
      <sharedItems containsMixedTypes="0" count="6">
        <s v="DA"/>
        <s v="PFS"/>
        <s v="OC"/>
        <s v="COPB"/>
        <s v="CO"/>
        <s v=""/>
      </sharedItems>
    </cacheField>
    <cacheField name="Taille">
      <sharedItems containsMixedTypes="1" containsNumber="1" containsInteger="1" count="39">
        <n v="121"/>
        <n v="138"/>
        <n v="145"/>
        <n v="146"/>
        <n v="147"/>
        <n v="148"/>
        <n v="125"/>
        <n v="144"/>
        <n v="149"/>
        <n v="141"/>
        <n v="153"/>
        <s v=""/>
        <n v="0"/>
        <n v="92"/>
        <n v="95"/>
        <n v="100"/>
        <n v="104"/>
        <n v="105"/>
        <n v="114"/>
        <n v="117"/>
        <n v="120"/>
        <n v="123"/>
        <n v="124"/>
        <n v="127"/>
        <n v="128"/>
        <n v="129"/>
        <n v="130"/>
        <n v="132"/>
        <n v="133"/>
        <n v="135"/>
        <n v="136"/>
        <n v="137"/>
        <n v="139"/>
        <n v="140"/>
        <n v="142"/>
        <n v="143"/>
        <n v="150"/>
        <n v="151"/>
        <n v="152"/>
      </sharedItems>
    </cacheField>
    <cacheField name="PROPRIETAIRE">
      <sharedItems containsMixedTypes="0" count="18">
        <s v="MME MELANIE VIVANT&#10;61170 ST JULIEN SUR SARTHE"/>
        <s v="M. JEAN-CHARLES THIBAUT&#10;61230 MARDILLY"/>
        <s v="DR.V MATHILDE LESOUEF&#10;14800 BONNEVILLE SUR TOUQUES"/>
        <s v="M. LAURENT LE TOURNEUR&#10;14400 TOUR EN BESSIN"/>
        <s v="M. PHILIPPE CHENOT&#10;61440 MESSEI"/>
        <s v="M. ARNAUD BONVALET&#10;27170 BEAUMONTEL"/>
        <s v="MME MARIE-CHRISTINE LESTELLE&#10;14710 FORMIGNY"/>
        <s v="M. CONSTANT SERUSIER&#10;72110 NOGENT LE BERNARD"/>
        <s v="MLLE FRANCOISE DUVAL&#10;27250 CHERONVILLIERS"/>
        <s v="MME AGNES BUISINE&#10;61230 MARDILLY"/>
        <s v="MME LYDIE HUAULT&#10;14410 BERNIERES LE PATRY"/>
        <s v="M. ROGER GRASMENIL&#10;50600 ST HILAIRE DU HARCOUET"/>
        <s v="MLLE JUSTINE RENAULT&#10;76480 LE MESNIL SOUS JUMIEGES"/>
        <s v="MLLE JENNIFER PARDANAUD&#10;61160 OMMEEL"/>
        <s v="M. SEBASTIEN MAILLET&#10;61290 LA LANDE SUR EURE"/>
        <s v="DR LAURE BOUGLE MANGIN&#10;61400 LE PIN LA GARENNE"/>
        <s v="M. GUILLAUME BLANC&#10;61570 ALMENECHES"/>
        <s v=""/>
      </sharedItems>
    </cacheField>
    <cacheField name="Adresse">
      <sharedItems containsMixedTypes="1" containsNumber="1" containsInteger="1" count="2">
        <n v="0"/>
        <s v=""/>
      </sharedItems>
    </cacheField>
    <cacheField name="NAISSEUR">
      <sharedItems containsMixedTypes="0" count="19">
        <s v="MME VIVANT MELANIE&#10;61170 ST JULIEN SUR SARTHE"/>
        <s v="M. THIBAUT JEAN-CHARLES&#10;61230 MARDILLY&#10;MME BREMAUD CLAUDIE&#10;61230 MARDILLY"/>
        <s v="DR.V LESOUEF MATHILDE&#10;14800 BONNEVILLE SUR TOUQUES"/>
        <s v="M. LE TOURNEUR LAURENT&#10;14400 TOUR EN BESSIN"/>
        <s v="D' ORLOV S.C.E.A.&#10;61440 MESSEI"/>
        <s v="M. BONVALET ARNAUD&#10;27170 BEAUMONTEL"/>
        <s v="MME LESTELLE MARIE-CHRISTINE&#10;14710 FORMIGNY"/>
        <s v="M. SERUSIER CONSTANT&#10;72110 NOGENT LE BERNARD"/>
        <s v="MLLE DUVAL FRANCOISE&#10;27250 CHERONVILLIERS"/>
        <s v="MME BUISINE AGNES&#10;61230 MARDILLY"/>
        <s v="MME HUAULT LYDIE&#10;14410 BERNIERES LE PATRY"/>
        <s v="M. GRASMENIL ROGER&#10;50600 ST HILAIRE DU HARCOUET"/>
        <s v="MME PARISOT LUCETTE&#10;61470 LE SAP"/>
        <s v="M. LELEU JACK&#10;14340 LA ROQUE BAIGNARD&#10;M. LELEU LUDOVIC&#10;14700 ERAINES"/>
        <s v="MME MAILLET CHRISTELLE&#10;61290 LA LANDE SUR EURE&#10;M. MAILLET SEBASTIEN&#10;61290 LA LANDE SUR EURE"/>
        <s v="DR BOUGLE MANGIN LAURE&#10;61400 LE PIN LA GARENNE"/>
        <s v="MME CAILLAREC CLAIRE&#10;61570 ALMENECHES"/>
        <s v="M. LEONARDIS JEAN-BAPTISTE&#10;82600 VERDUN SUR GARONNE&#10;MME LEONARDIS CELINE&#10;82600 VERDUN SUR GARONNE"/>
        <s v=""/>
      </sharedItems>
    </cacheField>
    <cacheField name="ADRESSE NAISSEUR">
      <sharedItems containsMixedTypes="1" containsNumber="1" containsInteger="1" count="2">
        <n v="0"/>
        <s v=""/>
      </sharedItems>
    </cacheField>
    <cacheField name="Cavalier">
      <sharedItems containsMixedTypes="0" count="18">
        <s v="MME Mélanie VIVANT"/>
        <s v="MLLE Jennifer PARDANAUD"/>
        <s v="DR.V Mathilde LESOUEF"/>
        <s v="M. Philippe CHENOT"/>
        <s v="MLLE Charlène DUVEY"/>
        <s v="MLLE Marion LESTELLE"/>
        <s v="MME Eugénie MUNIER"/>
        <s v="M. Gabin CHOCU"/>
        <s v="M. Timothée THIBAUT"/>
        <s v="Mlle. Colline MASSOT"/>
        <s v="Mlle Régina PAGNON"/>
        <s v="MLLE Clémence HUAULT"/>
        <s v="MLLE Coralie CLEMENT"/>
        <s v="MLLE Justine RENAULT"/>
        <s v="MLLE Valentine LEHEMBRE"/>
        <s v="MLLE Léa BOUGLE"/>
        <s v="M. Guillaume BLANC"/>
        <s v=""/>
      </sharedItems>
    </cacheField>
    <cacheField name="T?te et encolure ">
      <sharedItems containsString="0" containsBlank="1" containsMixedTypes="0" containsNumber="1" count="7">
        <n v="7"/>
        <n v="6.5"/>
        <n v="7.5"/>
        <n v="8"/>
        <m/>
        <n v="8.5"/>
        <n v="6"/>
      </sharedItems>
    </cacheField>
    <cacheField name="Epaule, bras ">
      <sharedItems containsString="0" containsBlank="1" containsMixedTypes="0" containsNumber="1" count="7">
        <n v="7"/>
        <n v="6.5"/>
        <n v="8"/>
        <n v="7.5"/>
        <n v="8.5"/>
        <m/>
        <n v="6"/>
      </sharedItems>
    </cacheField>
    <cacheField name="Garrot, dos, rein ">
      <sharedItems containsString="0" containsBlank="1" containsMixedTypes="0" containsNumber="1" count="7">
        <n v="7.5"/>
        <n v="7"/>
        <n v="8"/>
        <n v="6.5"/>
        <n v="6"/>
        <m/>
        <n v="5.5"/>
      </sharedItems>
    </cacheField>
    <cacheField name="Croupe et cuisse ">
      <sharedItems containsString="0" containsBlank="1" containsMixedTypes="0" containsNumber="1" count="7">
        <n v="7"/>
        <n v="7.5"/>
        <n v="8"/>
        <n v="6.5"/>
        <m/>
        <n v="6"/>
        <n v="8.5"/>
      </sharedItems>
    </cacheField>
    <cacheField name="Profondeur, ?paisseur ">
      <sharedItems containsString="0" containsBlank="1" containsMixedTypes="0" containsNumber="1" count="4">
        <n v="7.5"/>
        <n v="7"/>
        <n v="8"/>
        <m/>
      </sharedItems>
    </cacheField>
    <cacheField name="Ant?rieurs (aplombs, solidit?, ?paisseur)">
      <sharedItems containsString="0" containsBlank="1" containsMixedTypes="0" containsNumber="1" count="7">
        <n v="6"/>
        <n v="7"/>
        <n v="7.5"/>
        <n v="6.5"/>
        <m/>
        <n v="5.5"/>
        <n v="5"/>
      </sharedItems>
    </cacheField>
    <cacheField name="Post?rieurs (aplombs, solidit?, ?paisseur)">
      <sharedItems containsString="0" containsBlank="1" containsMixedTypes="0" containsNumber="1" count="6">
        <n v="7.5"/>
        <n v="7"/>
        <n v="8"/>
        <n v="6.5"/>
        <m/>
        <n v="6"/>
      </sharedItems>
    </cacheField>
    <cacheField name="Tissus, ?tat ">
      <sharedItems containsString="0" containsBlank="1" containsMixedTypes="0" containsNumber="1" count="6">
        <n v="7.5"/>
        <n v="8"/>
        <n v="7"/>
        <m/>
        <n v="6.5"/>
        <n v="6"/>
      </sharedItems>
    </cacheField>
    <cacheField name="Harmonie g?n?rale  /10 ( Coef. 2)">
      <sharedItems containsString="0" containsBlank="1" containsMixedTypes="0" containsNumber="1" count="6">
        <n v="7.5"/>
        <n v="8"/>
        <n v="7"/>
        <m/>
        <n v="6"/>
        <n v="6.5"/>
      </sharedItems>
    </cacheField>
    <cacheField name=" + Avantage, - P?nalit?">
      <sharedItems containsString="0" containsBlank="1" count="1">
        <m/>
      </sharedItems>
    </cacheField>
    <cacheField name="TOTAL  MOD?LE / 10">
      <sharedItems containsSemiMixedTypes="0" containsString="0" containsMixedTypes="0" containsNumber="1" count="19">
        <n v="7.2"/>
        <n v="7.1"/>
        <n v="7.8"/>
        <n v="7.6"/>
        <n v="7.05"/>
        <n v="7.4"/>
        <n v="7.65"/>
        <n v="7.25"/>
        <n v="7.45"/>
        <n v="7.15"/>
        <n v="7.35"/>
        <n v="6.85"/>
        <n v="6.95"/>
        <n v="0"/>
        <n v="6.45"/>
        <n v="6.9"/>
        <n v="7.5"/>
        <n v="6.8"/>
        <n v="6.1"/>
      </sharedItems>
    </cacheField>
    <cacheField name="Equilibre, Abord ">
      <sharedItems containsString="0" containsBlank="1" containsMixedTypes="0" containsNumber="1" count="6">
        <n v="6"/>
        <n v="7"/>
        <n v="8"/>
        <n v="6.5"/>
        <n v="7.5"/>
        <m/>
      </sharedItems>
    </cacheField>
    <cacheField name="Force et couverture ">
      <sharedItems containsString="0" containsBlank="1" containsMixedTypes="0" containsNumber="1" count="7">
        <n v="6.5"/>
        <n v="7"/>
        <n v="8"/>
        <n v="7.5"/>
        <n v="6"/>
        <n v="8.5"/>
        <m/>
      </sharedItems>
    </cacheField>
    <cacheField name="Style et trajectoire ">
      <sharedItems containsString="0" containsBlank="1" containsMixedTypes="0" containsNumber="1" count="6">
        <n v="6"/>
        <n v="7"/>
        <n v="8"/>
        <n v="6.5"/>
        <n v="7.5"/>
        <m/>
      </sharedItems>
    </cacheField>
    <cacheField name="Respect et franchise ">
      <sharedItems containsString="0" containsBlank="1" containsMixedTypes="0" containsNumber="1" count="6">
        <n v="7"/>
        <n v="8"/>
        <n v="6.5"/>
        <n v="6"/>
        <n v="7.5"/>
        <m/>
      </sharedItems>
    </cacheField>
    <cacheField name="TOTAL  OBSTACLE / 10">
      <sharedItems containsSemiMixedTypes="0" containsString="0" containsMixedTypes="0" containsNumber="1" count="13">
        <n v="6.375"/>
        <n v="7"/>
        <n v="8"/>
        <n v="6.5"/>
        <n v="6.875"/>
        <n v="6.25"/>
        <n v="7.25"/>
        <n v="6.625"/>
        <n v="7.5"/>
        <n v="0"/>
        <n v="7.125"/>
        <n v="6.75"/>
        <n v="6.125"/>
      </sharedItems>
    </cacheField>
    <cacheField name="Pas ">
      <sharedItems containsString="0" containsBlank="1" containsMixedTypes="0" containsNumber="1" count="8">
        <n v="7"/>
        <n v="5"/>
        <n v="7.5"/>
        <n v="5.5"/>
        <n v="8"/>
        <n v="6.5"/>
        <m/>
        <n v="8.5"/>
      </sharedItems>
    </cacheField>
    <cacheField name="Trot ">
      <sharedItems containsString="0" containsBlank="1" containsMixedTypes="0" containsNumber="1" count="8">
        <n v="6"/>
        <n v="5.5"/>
        <n v="8.5"/>
        <n v="7"/>
        <n v="7.5"/>
        <n v="8"/>
        <n v="6.5"/>
        <m/>
      </sharedItems>
    </cacheField>
    <cacheField name="Galop ">
      <sharedItems containsString="0" containsBlank="1" containsMixedTypes="0" containsNumber="1" count="6">
        <n v="6.5"/>
        <n v="7.5"/>
        <n v="8"/>
        <n v="7"/>
        <m/>
        <n v="6"/>
      </sharedItems>
    </cacheField>
    <cacheField name="TOTAL ALLURES / 10">
      <sharedItems containsSemiMixedTypes="0" containsString="0" containsMixedTypes="0" containsNumber="1" count="28">
        <n v="6.5"/>
        <n v="5.666666666666667"/>
        <n v="7.666666666666667"/>
        <n v="7.5"/>
        <n v="6.333333333333333"/>
        <n v="7.833333333333333"/>
        <n v="6.833333333333333"/>
        <n v="6.666666666666667"/>
        <n v="0"/>
        <n v="7.333333333333333"/>
        <n v="7"/>
        <n v="7.166666666666667"/>
        <n v="8"/>
        <n v="5.833333333333333"/>
        <n v="5"/>
        <n v="5.333333333333333"/>
        <n v="6"/>
        <n v="6.166666666666667"/>
        <n v="6.416666666666667"/>
        <n v="6.583333333333333"/>
        <n v="6.75"/>
        <n v="6.916666666666667"/>
        <n v="7.083333333333333"/>
        <n v="7.25"/>
        <n v="7.416666666666667"/>
        <n v="7.583333333333333"/>
        <n v="8.5"/>
        <n v="8.666666666666666"/>
      </sharedItems>
    </cacheField>
    <cacheField name="P?nalit?">
      <sharedItems containsString="0" containsBlank="1" count="1">
        <m/>
      </sharedItems>
    </cacheField>
    <cacheField name="TOTAL GENERAL DES 3 TESTS / 10">
      <sharedItems containsSemiMixedTypes="0" containsString="0" containsMixedTypes="0" containsNumber="1" count="18">
        <n v="6.825"/>
        <n v="6.65"/>
        <n v="7.8"/>
        <n v="7.35"/>
        <n v="7.375"/>
        <n v="7.45"/>
        <n v="7.125"/>
        <n v="7.425"/>
        <n v="6.95"/>
        <n v="7.325"/>
        <n v="7.025"/>
        <n v="6.75"/>
        <n v="0"/>
        <n v="7.175"/>
        <n v="6.925"/>
        <n v="7.2"/>
        <n v="6.725"/>
        <n v="6.025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3:AF26" sheet="Notes3A"/>
  </cacheSource>
  <cacheFields count="32">
    <cacheField name="N?">
      <sharedItems containsMixedTypes="1" containsNumber="1" containsInteger="1" count="76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s v="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</sharedItems>
    </cacheField>
    <cacheField name="Nom">
      <sharedItems containsMixedTypes="0" count="24">
        <s v="BYE BYE PARIS LE SAGE"/>
        <s v="BENEF DES BRIMBELLES"/>
        <s v="BOOSTER DE LA CROIX"/>
        <s v="BOSTON DES LONDES"/>
        <s v="BJORKO D'ORLOV"/>
        <s v="BOOMERANG RISLOIS"/>
        <s v="BLACK SWAN DU BUHOT"/>
        <s v="BORGUND D'ORLOV"/>
        <s v="BALDUR D'ORLOV"/>
        <s v="BEN DE VILLEE"/>
        <s v="BLUE JEANS"/>
        <s v="BIRTHDAY PARTY SQUARE"/>
        <s v="BE ICONIC SQUARE"/>
        <s v="BE A TEA ADDICT SQUAR"/>
        <s v="BARONE DE TAILLE"/>
        <s v="BETTY DU CLOS DRIEUX"/>
        <s v="BERENICE DE LOYE"/>
        <s v="BAZOOKA RISLOIS"/>
        <s v="BEAUTY ROCQ"/>
        <s v="BON DU TRESOR AU PENA"/>
        <s v="BRELAN D'AS"/>
        <s v="BELTAINE DEW CLADDAGH"/>
        <s v="BRIMBELLE DE CAZALS"/>
        <s v=""/>
      </sharedItems>
    </cacheField>
    <cacheField name="Section">
      <sharedItems containsBlank="1" containsMixedTypes="0" count="20">
        <s v="MB"/>
        <s v="MC"/>
        <s v="MD"/>
        <s v="HFB"/>
        <s v="HFD"/>
        <s v="HFE"/>
        <s v=""/>
        <s v="F&amp;H"/>
        <s v="H&amp;F B"/>
        <s v="H&amp;F C"/>
        <s v="H&amp;F D"/>
        <s v="HFA"/>
        <s v="HFC"/>
        <s v="M"/>
        <s v="M C"/>
        <s v="M D"/>
        <s v="M E"/>
        <s v="MA"/>
        <s v="ME"/>
        <m/>
      </sharedItems>
    </cacheField>
    <cacheField name="Race">
      <sharedItems containsMixedTypes="0" count="6">
        <s v="DA"/>
        <s v="PFS"/>
        <s v="OC"/>
        <s v="COPB"/>
        <s v="CO"/>
        <s v=""/>
      </sharedItems>
    </cacheField>
    <cacheField name="Taille">
      <sharedItems containsMixedTypes="1" containsNumber="1" containsInteger="1" count="39">
        <n v="121"/>
        <n v="138"/>
        <n v="145"/>
        <n v="146"/>
        <n v="147"/>
        <n v="148"/>
        <n v="125"/>
        <n v="144"/>
        <n v="149"/>
        <n v="141"/>
        <n v="153"/>
        <s v=""/>
        <n v="0"/>
        <n v="92"/>
        <n v="95"/>
        <n v="100"/>
        <n v="104"/>
        <n v="105"/>
        <n v="114"/>
        <n v="117"/>
        <n v="120"/>
        <n v="123"/>
        <n v="124"/>
        <n v="127"/>
        <n v="128"/>
        <n v="129"/>
        <n v="130"/>
        <n v="132"/>
        <n v="133"/>
        <n v="135"/>
        <n v="136"/>
        <n v="137"/>
        <n v="139"/>
        <n v="140"/>
        <n v="142"/>
        <n v="143"/>
        <n v="150"/>
        <n v="151"/>
        <n v="152"/>
      </sharedItems>
    </cacheField>
    <cacheField name="PROPRIETAIRE">
      <sharedItems containsMixedTypes="0" count="18">
        <s v="MME MELANIE VIVANT&#10;61170 ST JULIEN SUR SARTHE"/>
        <s v="M. JEAN-CHARLES THIBAUT&#10;61230 MARDILLY"/>
        <s v="DR.V MATHILDE LESOUEF&#10;14800 BONNEVILLE SUR TOUQUES"/>
        <s v="M. LAURENT LE TOURNEUR&#10;14400 TOUR EN BESSIN"/>
        <s v="M. PHILIPPE CHENOT&#10;61440 MESSEI"/>
        <s v="M. ARNAUD BONVALET&#10;27170 BEAUMONTEL"/>
        <s v="MME MARIE-CHRISTINE LESTELLE&#10;14710 FORMIGNY"/>
        <s v="M. CONSTANT SERUSIER&#10;72110 NOGENT LE BERNARD"/>
        <s v="MLLE FRANCOISE DUVAL&#10;27250 CHERONVILLIERS"/>
        <s v="MME AGNES BUISINE&#10;61230 MARDILLY"/>
        <s v="MME LYDIE HUAULT&#10;14410 BERNIERES LE PATRY"/>
        <s v="M. ROGER GRASMENIL&#10;50600 ST HILAIRE DU HARCOUET"/>
        <s v="MLLE JUSTINE RENAULT&#10;76480 LE MESNIL SOUS JUMIEGES"/>
        <s v="MLLE JENNIFER PARDANAUD&#10;61160 OMMEEL"/>
        <s v="M. SEBASTIEN MAILLET&#10;61290 LA LANDE SUR EURE"/>
        <s v="DR LAURE BOUGLE MANGIN&#10;61400 LE PIN LA GARENNE"/>
        <s v="M. GUILLAUME BLANC&#10;61570 ALMENECHES"/>
        <s v=""/>
      </sharedItems>
    </cacheField>
    <cacheField name="Adresse">
      <sharedItems containsMixedTypes="1" containsNumber="1" containsInteger="1" count="2">
        <n v="0"/>
        <s v=""/>
      </sharedItems>
    </cacheField>
    <cacheField name="NAISSEUR">
      <sharedItems containsMixedTypes="0" count="19">
        <s v="MME VIVANT MELANIE&#10;61170 ST JULIEN SUR SARTHE"/>
        <s v="M. THIBAUT JEAN-CHARLES&#10;61230 MARDILLY&#10;MME BREMAUD CLAUDIE&#10;61230 MARDILLY"/>
        <s v="DR.V LESOUEF MATHILDE&#10;14800 BONNEVILLE SUR TOUQUES"/>
        <s v="M. LE TOURNEUR LAURENT&#10;14400 TOUR EN BESSIN"/>
        <s v="D' ORLOV S.C.E.A.&#10;61440 MESSEI"/>
        <s v="M. BONVALET ARNAUD&#10;27170 BEAUMONTEL"/>
        <s v="MME LESTELLE MARIE-CHRISTINE&#10;14710 FORMIGNY"/>
        <s v="M. SERUSIER CONSTANT&#10;72110 NOGENT LE BERNARD"/>
        <s v="MLLE DUVAL FRANCOISE&#10;27250 CHERONVILLIERS"/>
        <s v="MME BUISINE AGNES&#10;61230 MARDILLY"/>
        <s v="MME HUAULT LYDIE&#10;14410 BERNIERES LE PATRY"/>
        <s v="M. GRASMENIL ROGER&#10;50600 ST HILAIRE DU HARCOUET"/>
        <s v="MME PARISOT LUCETTE&#10;61470 LE SAP"/>
        <s v="M. LELEU JACK&#10;14340 LA ROQUE BAIGNARD&#10;M. LELEU LUDOVIC&#10;14700 ERAINES"/>
        <s v="MME MAILLET CHRISTELLE&#10;61290 LA LANDE SUR EURE&#10;M. MAILLET SEBASTIEN&#10;61290 LA LANDE SUR EURE"/>
        <s v="DR BOUGLE MANGIN LAURE&#10;61400 LE PIN LA GARENNE"/>
        <s v="MME CAILLAREC CLAIRE&#10;61570 ALMENECHES"/>
        <s v="M. LEONARDIS JEAN-BAPTISTE&#10;82600 VERDUN SUR GARONNE&#10;MME LEONARDIS CELINE&#10;82600 VERDUN SUR GARONNE"/>
        <s v=""/>
      </sharedItems>
    </cacheField>
    <cacheField name="ADRESSE NAISSEUR">
      <sharedItems containsMixedTypes="1" containsNumber="1" containsInteger="1" count="2">
        <n v="0"/>
        <s v=""/>
      </sharedItems>
    </cacheField>
    <cacheField name="Cavalier">
      <sharedItems containsMixedTypes="0" count="18">
        <s v="MME Mélanie VIVANT"/>
        <s v="MLLE Jennifer PARDANAUD"/>
        <s v="DR.V Mathilde LESOUEF"/>
        <s v="M. Philippe CHENOT"/>
        <s v="MLLE Charlène DUVEY"/>
        <s v="MLLE Marion LESTELLE"/>
        <s v="MME Eugénie MUNIER"/>
        <s v="M. Gabin CHOCU"/>
        <s v="M. Timothée THIBAUT"/>
        <s v="Mlle. Colline MASSOT"/>
        <s v="Mlle Régina PAGNON"/>
        <s v="MLLE Clémence HUAULT"/>
        <s v="MLLE Coralie CLEMENT"/>
        <s v="MLLE Justine RENAULT"/>
        <s v="MLLE Valentine LEHEMBRE"/>
        <s v="MLLE Léa BOUGLE"/>
        <s v="M. Guillaume BLANC"/>
        <s v=""/>
      </sharedItems>
    </cacheField>
    <cacheField name="T?te et encolure ">
      <sharedItems containsString="0" containsBlank="1" containsMixedTypes="0" containsNumber="1" count="7">
        <n v="7"/>
        <n v="6.5"/>
        <n v="7.5"/>
        <n v="8"/>
        <m/>
        <n v="8.5"/>
        <n v="6"/>
      </sharedItems>
    </cacheField>
    <cacheField name="Epaule, bras ">
      <sharedItems containsString="0" containsBlank="1" containsMixedTypes="0" containsNumber="1" count="7">
        <n v="7"/>
        <n v="6.5"/>
        <n v="8"/>
        <n v="7.5"/>
        <n v="8.5"/>
        <m/>
        <n v="6"/>
      </sharedItems>
    </cacheField>
    <cacheField name="Garrot, dos, rein ">
      <sharedItems containsString="0" containsBlank="1" containsMixedTypes="0" containsNumber="1" count="7">
        <n v="7.5"/>
        <n v="7"/>
        <n v="8"/>
        <n v="6.5"/>
        <n v="6"/>
        <m/>
        <n v="5.5"/>
      </sharedItems>
    </cacheField>
    <cacheField name="Croupe et cuisse ">
      <sharedItems containsString="0" containsBlank="1" containsMixedTypes="0" containsNumber="1" count="7">
        <n v="7"/>
        <n v="7.5"/>
        <n v="8"/>
        <n v="6.5"/>
        <m/>
        <n v="6"/>
        <n v="8.5"/>
      </sharedItems>
    </cacheField>
    <cacheField name="Profondeur, ?paisseur ">
      <sharedItems containsString="0" containsBlank="1" containsMixedTypes="0" containsNumber="1" count="4">
        <n v="7.5"/>
        <n v="7"/>
        <n v="8"/>
        <m/>
      </sharedItems>
    </cacheField>
    <cacheField name="Ant?rieurs (aplombs, solidit?, ?paisseur)">
      <sharedItems containsString="0" containsBlank="1" containsMixedTypes="0" containsNumber="1" count="7">
        <n v="6"/>
        <n v="7"/>
        <n v="7.5"/>
        <n v="6.5"/>
        <m/>
        <n v="5.5"/>
        <n v="5"/>
      </sharedItems>
    </cacheField>
    <cacheField name="Post?rieurs (aplombs, solidit?, ?paisseur)">
      <sharedItems containsString="0" containsBlank="1" containsMixedTypes="0" containsNumber="1" count="6">
        <n v="7.5"/>
        <n v="7"/>
        <n v="8"/>
        <n v="6.5"/>
        <m/>
        <n v="6"/>
      </sharedItems>
    </cacheField>
    <cacheField name="Tissus, ?tat ">
      <sharedItems containsString="0" containsBlank="1" containsMixedTypes="0" containsNumber="1" count="6">
        <n v="7.5"/>
        <n v="8"/>
        <n v="7"/>
        <m/>
        <n v="6.5"/>
        <n v="6"/>
      </sharedItems>
    </cacheField>
    <cacheField name="Harmonie g?n?rale  /10 ( Coef. 2)">
      <sharedItems containsString="0" containsBlank="1" containsMixedTypes="0" containsNumber="1" count="6">
        <n v="7.5"/>
        <n v="8"/>
        <n v="7"/>
        <m/>
        <n v="6"/>
        <n v="6.5"/>
      </sharedItems>
    </cacheField>
    <cacheField name=" + Avantage, - P?nalit?">
      <sharedItems containsString="0" containsBlank="1" count="1">
        <m/>
      </sharedItems>
    </cacheField>
    <cacheField name="TOTAL  MOD?LE / 10">
      <sharedItems containsSemiMixedTypes="0" containsString="0" containsMixedTypes="0" containsNumber="1" count="59">
        <n v="7.2"/>
        <n v="7.1"/>
        <n v="7.8"/>
        <n v="7.6"/>
        <n v="7.05"/>
        <n v="7.4"/>
        <n v="7.65"/>
        <n v="7.25"/>
        <n v="7.45"/>
        <n v="7.15"/>
        <n v="7.35"/>
        <n v="6.85"/>
        <n v="6.95"/>
        <n v="0"/>
        <n v="6.45"/>
        <n v="6.9"/>
        <n v="7.5"/>
        <n v="6.8"/>
        <n v="6.1"/>
        <n v="5.6"/>
        <n v="5.65"/>
        <n v="5.9"/>
        <n v="5.95"/>
        <n v="6"/>
        <n v="6.05"/>
        <n v="6.15"/>
        <n v="6.175"/>
        <n v="6.2"/>
        <n v="6.25"/>
        <n v="6.275"/>
        <n v="6.3"/>
        <n v="6.35"/>
        <n v="6.375"/>
        <n v="6.4"/>
        <n v="6.5"/>
        <n v="6.525"/>
        <n v="6.55"/>
        <n v="6.575"/>
        <n v="6.6"/>
        <n v="6.625"/>
        <n v="6.65"/>
        <n v="6.7"/>
        <n v="6.75"/>
        <n v="6.76"/>
        <n v="6.775"/>
        <n v="6.925"/>
        <n v="7"/>
        <n v="7.075"/>
        <n v="7.3"/>
        <n v="7.425"/>
        <n v="7.4799999999999995"/>
        <n v="7.55"/>
        <n v="7.625"/>
        <n v="7.7"/>
        <n v="7.75"/>
        <n v="7.825"/>
        <n v="7.85"/>
        <n v="7.9"/>
        <n v="7.95"/>
      </sharedItems>
    </cacheField>
    <cacheField name="Equilibre, Abord ">
      <sharedItems containsString="0" containsBlank="1" containsMixedTypes="0" containsNumber="1" count="6">
        <n v="6"/>
        <n v="7"/>
        <n v="8"/>
        <n v="6.5"/>
        <n v="7.5"/>
        <m/>
      </sharedItems>
    </cacheField>
    <cacheField name="Force et couverture ">
      <sharedItems containsString="0" containsBlank="1" containsMixedTypes="0" containsNumber="1" count="7">
        <n v="6.5"/>
        <n v="7"/>
        <n v="8"/>
        <n v="7.5"/>
        <n v="6"/>
        <n v="8.5"/>
        <m/>
      </sharedItems>
    </cacheField>
    <cacheField name="Style et trajectoire ">
      <sharedItems containsString="0" containsBlank="1" containsMixedTypes="0" containsNumber="1" count="6">
        <n v="6"/>
        <n v="7"/>
        <n v="8"/>
        <n v="6.5"/>
        <n v="7.5"/>
        <m/>
      </sharedItems>
    </cacheField>
    <cacheField name="Respect et franchise ">
      <sharedItems containsString="0" containsBlank="1" containsMixedTypes="0" containsNumber="1" count="6">
        <n v="7"/>
        <n v="8"/>
        <n v="6.5"/>
        <n v="6"/>
        <n v="7.5"/>
        <m/>
      </sharedItems>
    </cacheField>
    <cacheField name="TOTAL  OBSTACLE / 10">
      <sharedItems containsSemiMixedTypes="0" containsString="0" containsMixedTypes="0" containsNumber="1" count="13">
        <n v="6.375"/>
        <n v="7"/>
        <n v="8"/>
        <n v="6.5"/>
        <n v="6.875"/>
        <n v="6.25"/>
        <n v="7.25"/>
        <n v="6.625"/>
        <n v="7.5"/>
        <n v="0"/>
        <n v="7.125"/>
        <n v="6.75"/>
        <n v="6.125"/>
      </sharedItems>
    </cacheField>
    <cacheField name="Pas ">
      <sharedItems containsString="0" containsBlank="1" containsMixedTypes="0" containsNumber="1" count="8">
        <n v="7"/>
        <n v="5"/>
        <n v="7.5"/>
        <n v="5.5"/>
        <n v="8"/>
        <n v="6.5"/>
        <m/>
        <n v="8.5"/>
      </sharedItems>
    </cacheField>
    <cacheField name="Trot ">
      <sharedItems containsString="0" containsBlank="1" containsMixedTypes="0" containsNumber="1" count="8">
        <n v="6"/>
        <n v="5.5"/>
        <n v="8.5"/>
        <n v="7"/>
        <n v="7.5"/>
        <n v="8"/>
        <n v="6.5"/>
        <m/>
      </sharedItems>
    </cacheField>
    <cacheField name="Galop ">
      <sharedItems containsString="0" containsBlank="1" containsMixedTypes="0" containsNumber="1" count="6">
        <n v="6.5"/>
        <n v="7.5"/>
        <n v="8"/>
        <n v="7"/>
        <m/>
        <n v="6"/>
      </sharedItems>
    </cacheField>
    <cacheField name="TOTAL ALLURES / 10">
      <sharedItems containsSemiMixedTypes="0" containsString="0" containsMixedTypes="0" containsNumber="1" count="14">
        <n v="6.5"/>
        <n v="5.666666666666667"/>
        <n v="7.666666666666667"/>
        <n v="7.5"/>
        <n v="6.333333333333333"/>
        <n v="7.833333333333333"/>
        <n v="6.833333333333333"/>
        <n v="6.666666666666667"/>
        <n v="0"/>
        <n v="7.333333333333333"/>
        <n v="7"/>
        <n v="7.166666666666667"/>
        <n v="8"/>
        <n v="5.833333333333333"/>
      </sharedItems>
    </cacheField>
    <cacheField name="P?nalit?">
      <sharedItems containsString="0" containsBlank="1" count="1">
        <m/>
      </sharedItems>
    </cacheField>
    <cacheField name="TOTAL GENERAL DES 3 TESTS / 10">
      <sharedItems containsSemiMixedTypes="0" containsString="0" containsMixedTypes="0" containsNumber="1" count="18">
        <n v="6.825"/>
        <n v="6.65"/>
        <n v="7.8"/>
        <n v="7.35"/>
        <n v="7.375"/>
        <n v="7.45"/>
        <n v="7.125"/>
        <n v="7.425"/>
        <n v="6.95"/>
        <n v="7.325"/>
        <n v="7.025"/>
        <n v="6.75"/>
        <n v="0"/>
        <n v="7.175"/>
        <n v="6.925"/>
        <n v="7.2"/>
        <n v="6.725"/>
        <n v="6.025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3:AF26" sheet="Notes3A"/>
  </cacheSource>
  <cacheFields count="32">
    <cacheField name="N?">
      <sharedItems containsMixedTypes="1" containsNumber="1" containsInteger="1" count="76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s v="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</sharedItems>
    </cacheField>
    <cacheField name="Nom">
      <sharedItems containsMixedTypes="0" count="24">
        <s v="BYE BYE PARIS LE SAGE"/>
        <s v="BENEF DES BRIMBELLES"/>
        <s v="BOOSTER DE LA CROIX"/>
        <s v="BOSTON DES LONDES"/>
        <s v="BJORKO D'ORLOV"/>
        <s v="BOOMERANG RISLOIS"/>
        <s v="BLACK SWAN DU BUHOT"/>
        <s v="BORGUND D'ORLOV"/>
        <s v="BALDUR D'ORLOV"/>
        <s v="BEN DE VILLEE"/>
        <s v="BLUE JEANS"/>
        <s v="BIRTHDAY PARTY SQUARE"/>
        <s v="BE ICONIC SQUARE"/>
        <s v="BE A TEA ADDICT SQUAR"/>
        <s v="BARONE DE TAILLE"/>
        <s v="BETTY DU CLOS DRIEUX"/>
        <s v="BERENICE DE LOYE"/>
        <s v="BAZOOKA RISLOIS"/>
        <s v="BEAUTY ROCQ"/>
        <s v="BON DU TRESOR AU PENA"/>
        <s v="BRELAN D'AS"/>
        <s v="BELTAINE DEW CLADDAGH"/>
        <s v="BRIMBELLE DE CAZALS"/>
        <s v=""/>
      </sharedItems>
    </cacheField>
    <cacheField name="Section">
      <sharedItems containsBlank="1" containsMixedTypes="0" count="20">
        <s v="MB"/>
        <s v="MC"/>
        <s v="MD"/>
        <s v="HFB"/>
        <s v="HFD"/>
        <s v="HFE"/>
        <s v=""/>
        <s v="F&amp;H"/>
        <s v="H&amp;F B"/>
        <s v="H&amp;F C"/>
        <s v="H&amp;F D"/>
        <s v="HFA"/>
        <s v="HFC"/>
        <s v="M"/>
        <s v="M C"/>
        <s v="M D"/>
        <s v="M E"/>
        <s v="MA"/>
        <s v="ME"/>
        <m/>
      </sharedItems>
    </cacheField>
    <cacheField name="Race">
      <sharedItems containsMixedTypes="0" count="6">
        <s v="DA"/>
        <s v="PFS"/>
        <s v="OC"/>
        <s v="COPB"/>
        <s v="CO"/>
        <s v=""/>
      </sharedItems>
    </cacheField>
    <cacheField name="Taille">
      <sharedItems containsMixedTypes="1" containsNumber="1" containsInteger="1" count="39">
        <n v="121"/>
        <n v="138"/>
        <n v="145"/>
        <n v="146"/>
        <n v="147"/>
        <n v="148"/>
        <n v="125"/>
        <n v="144"/>
        <n v="149"/>
        <n v="141"/>
        <n v="153"/>
        <s v=""/>
        <n v="0"/>
        <n v="92"/>
        <n v="95"/>
        <n v="100"/>
        <n v="104"/>
        <n v="105"/>
        <n v="114"/>
        <n v="117"/>
        <n v="120"/>
        <n v="123"/>
        <n v="124"/>
        <n v="127"/>
        <n v="128"/>
        <n v="129"/>
        <n v="130"/>
        <n v="132"/>
        <n v="133"/>
        <n v="135"/>
        <n v="136"/>
        <n v="137"/>
        <n v="139"/>
        <n v="140"/>
        <n v="142"/>
        <n v="143"/>
        <n v="150"/>
        <n v="151"/>
        <n v="152"/>
      </sharedItems>
    </cacheField>
    <cacheField name="PROPRIETAIRE">
      <sharedItems containsMixedTypes="0" count="18">
        <s v="MME MELANIE VIVANT&#10;61170 ST JULIEN SUR SARTHE"/>
        <s v="M. JEAN-CHARLES THIBAUT&#10;61230 MARDILLY"/>
        <s v="DR.V MATHILDE LESOUEF&#10;14800 BONNEVILLE SUR TOUQUES"/>
        <s v="M. LAURENT LE TOURNEUR&#10;14400 TOUR EN BESSIN"/>
        <s v="M. PHILIPPE CHENOT&#10;61440 MESSEI"/>
        <s v="M. ARNAUD BONVALET&#10;27170 BEAUMONTEL"/>
        <s v="MME MARIE-CHRISTINE LESTELLE&#10;14710 FORMIGNY"/>
        <s v="M. CONSTANT SERUSIER&#10;72110 NOGENT LE BERNARD"/>
        <s v="MLLE FRANCOISE DUVAL&#10;27250 CHERONVILLIERS"/>
        <s v="MME AGNES BUISINE&#10;61230 MARDILLY"/>
        <s v="MME LYDIE HUAULT&#10;14410 BERNIERES LE PATRY"/>
        <s v="M. ROGER GRASMENIL&#10;50600 ST HILAIRE DU HARCOUET"/>
        <s v="MLLE JUSTINE RENAULT&#10;76480 LE MESNIL SOUS JUMIEGES"/>
        <s v="MLLE JENNIFER PARDANAUD&#10;61160 OMMEEL"/>
        <s v="M. SEBASTIEN MAILLET&#10;61290 LA LANDE SUR EURE"/>
        <s v="DR LAURE BOUGLE MANGIN&#10;61400 LE PIN LA GARENNE"/>
        <s v="M. GUILLAUME BLANC&#10;61570 ALMENECHES"/>
        <s v=""/>
      </sharedItems>
    </cacheField>
    <cacheField name="Adresse">
      <sharedItems containsMixedTypes="1" containsNumber="1" containsInteger="1" count="2">
        <n v="0"/>
        <s v=""/>
      </sharedItems>
    </cacheField>
    <cacheField name="NAISSEUR">
      <sharedItems containsMixedTypes="0" count="19">
        <s v="MME VIVANT MELANIE&#10;61170 ST JULIEN SUR SARTHE"/>
        <s v="M. THIBAUT JEAN-CHARLES&#10;61230 MARDILLY&#10;MME BREMAUD CLAUDIE&#10;61230 MARDILLY"/>
        <s v="DR.V LESOUEF MATHILDE&#10;14800 BONNEVILLE SUR TOUQUES"/>
        <s v="M. LE TOURNEUR LAURENT&#10;14400 TOUR EN BESSIN"/>
        <s v="D' ORLOV S.C.E.A.&#10;61440 MESSEI"/>
        <s v="M. BONVALET ARNAUD&#10;27170 BEAUMONTEL"/>
        <s v="MME LESTELLE MARIE-CHRISTINE&#10;14710 FORMIGNY"/>
        <s v="M. SERUSIER CONSTANT&#10;72110 NOGENT LE BERNARD"/>
        <s v="MLLE DUVAL FRANCOISE&#10;27250 CHERONVILLIERS"/>
        <s v="MME BUISINE AGNES&#10;61230 MARDILLY"/>
        <s v="MME HUAULT LYDIE&#10;14410 BERNIERES LE PATRY"/>
        <s v="M. GRASMENIL ROGER&#10;50600 ST HILAIRE DU HARCOUET"/>
        <s v="MME PARISOT LUCETTE&#10;61470 LE SAP"/>
        <s v="M. LELEU JACK&#10;14340 LA ROQUE BAIGNARD&#10;M. LELEU LUDOVIC&#10;14700 ERAINES"/>
        <s v="MME MAILLET CHRISTELLE&#10;61290 LA LANDE SUR EURE&#10;M. MAILLET SEBASTIEN&#10;61290 LA LANDE SUR EURE"/>
        <s v="DR BOUGLE MANGIN LAURE&#10;61400 LE PIN LA GARENNE"/>
        <s v="MME CAILLAREC CLAIRE&#10;61570 ALMENECHES"/>
        <s v="M. LEONARDIS JEAN-BAPTISTE&#10;82600 VERDUN SUR GARONNE&#10;MME LEONARDIS CELINE&#10;82600 VERDUN SUR GARONNE"/>
        <s v=""/>
      </sharedItems>
    </cacheField>
    <cacheField name="ADRESSE NAISSEUR">
      <sharedItems containsMixedTypes="1" containsNumber="1" containsInteger="1" count="2">
        <n v="0"/>
        <s v=""/>
      </sharedItems>
    </cacheField>
    <cacheField name="Cavalier">
      <sharedItems containsMixedTypes="0" count="18">
        <s v="MME Mélanie VIVANT"/>
        <s v="MLLE Jennifer PARDANAUD"/>
        <s v="DR.V Mathilde LESOUEF"/>
        <s v="M. Philippe CHENOT"/>
        <s v="MLLE Charlène DUVEY"/>
        <s v="MLLE Marion LESTELLE"/>
        <s v="MME Eugénie MUNIER"/>
        <s v="M. Gabin CHOCU"/>
        <s v="M. Timothée THIBAUT"/>
        <s v="Mlle. Colline MASSOT"/>
        <s v="Mlle Régina PAGNON"/>
        <s v="MLLE Clémence HUAULT"/>
        <s v="MLLE Coralie CLEMENT"/>
        <s v="MLLE Justine RENAULT"/>
        <s v="MLLE Valentine LEHEMBRE"/>
        <s v="MLLE Léa BOUGLE"/>
        <s v="M. Guillaume BLANC"/>
        <s v=""/>
      </sharedItems>
    </cacheField>
    <cacheField name="T?te et encolure ">
      <sharedItems containsString="0" containsBlank="1" containsMixedTypes="0" containsNumber="1" count="7">
        <n v="7"/>
        <n v="6.5"/>
        <n v="7.5"/>
        <n v="8"/>
        <m/>
        <n v="8.5"/>
        <n v="6"/>
      </sharedItems>
    </cacheField>
    <cacheField name="Epaule, bras ">
      <sharedItems containsString="0" containsBlank="1" containsMixedTypes="0" containsNumber="1" count="7">
        <n v="7"/>
        <n v="6.5"/>
        <n v="8"/>
        <n v="7.5"/>
        <n v="8.5"/>
        <m/>
        <n v="6"/>
      </sharedItems>
    </cacheField>
    <cacheField name="Garrot, dos, rein ">
      <sharedItems containsString="0" containsBlank="1" containsMixedTypes="0" containsNumber="1" count="7">
        <n v="7.5"/>
        <n v="7"/>
        <n v="8"/>
        <n v="6.5"/>
        <n v="6"/>
        <m/>
        <n v="5.5"/>
      </sharedItems>
    </cacheField>
    <cacheField name="Croupe et cuisse ">
      <sharedItems containsString="0" containsBlank="1" containsMixedTypes="0" containsNumber="1" count="7">
        <n v="7"/>
        <n v="7.5"/>
        <n v="8"/>
        <n v="6.5"/>
        <m/>
        <n v="6"/>
        <n v="8.5"/>
      </sharedItems>
    </cacheField>
    <cacheField name="Profondeur, ?paisseur ">
      <sharedItems containsString="0" containsBlank="1" containsMixedTypes="0" containsNumber="1" count="4">
        <n v="7.5"/>
        <n v="7"/>
        <n v="8"/>
        <m/>
      </sharedItems>
    </cacheField>
    <cacheField name="Ant?rieurs (aplombs, solidit?, ?paisseur)">
      <sharedItems containsString="0" containsBlank="1" containsMixedTypes="0" containsNumber="1" count="7">
        <n v="6"/>
        <n v="7"/>
        <n v="7.5"/>
        <n v="6.5"/>
        <m/>
        <n v="5.5"/>
        <n v="5"/>
      </sharedItems>
    </cacheField>
    <cacheField name="Post?rieurs (aplombs, solidit?, ?paisseur)">
      <sharedItems containsString="0" containsBlank="1" containsMixedTypes="0" containsNumber="1" count="6">
        <n v="7.5"/>
        <n v="7"/>
        <n v="8"/>
        <n v="6.5"/>
        <m/>
        <n v="6"/>
      </sharedItems>
    </cacheField>
    <cacheField name="Tissus, ?tat ">
      <sharedItems containsString="0" containsBlank="1" containsMixedTypes="0" containsNumber="1" count="6">
        <n v="7.5"/>
        <n v="8"/>
        <n v="7"/>
        <m/>
        <n v="6.5"/>
        <n v="6"/>
      </sharedItems>
    </cacheField>
    <cacheField name="Harmonie g?n?rale  /10 ( Coef. 2)">
      <sharedItems containsString="0" containsBlank="1" containsMixedTypes="0" containsNumber="1" count="6">
        <n v="7.5"/>
        <n v="8"/>
        <n v="7"/>
        <m/>
        <n v="6"/>
        <n v="6.5"/>
      </sharedItems>
    </cacheField>
    <cacheField name=" + Avantage, - P?nalit?">
      <sharedItems containsString="0" containsBlank="1" count="1">
        <m/>
      </sharedItems>
    </cacheField>
    <cacheField name="TOTAL  MOD?LE / 10">
      <sharedItems containsSemiMixedTypes="0" containsString="0" containsMixedTypes="0" containsNumber="1" count="19">
        <n v="7.2"/>
        <n v="7.1"/>
        <n v="7.8"/>
        <n v="7.6"/>
        <n v="7.05"/>
        <n v="7.4"/>
        <n v="7.65"/>
        <n v="7.25"/>
        <n v="7.45"/>
        <n v="7.15"/>
        <n v="7.35"/>
        <n v="6.85"/>
        <n v="6.95"/>
        <n v="0"/>
        <n v="6.45"/>
        <n v="6.9"/>
        <n v="7.5"/>
        <n v="6.8"/>
        <n v="6.1"/>
      </sharedItems>
    </cacheField>
    <cacheField name="Equilibre, Abord ">
      <sharedItems containsString="0" containsBlank="1" containsMixedTypes="0" containsNumber="1" count="6">
        <n v="6"/>
        <n v="7"/>
        <n v="8"/>
        <n v="6.5"/>
        <n v="7.5"/>
        <m/>
      </sharedItems>
    </cacheField>
    <cacheField name="Force et couverture ">
      <sharedItems containsString="0" containsBlank="1" containsMixedTypes="0" containsNumber="1" count="7">
        <n v="6.5"/>
        <n v="7"/>
        <n v="8"/>
        <n v="7.5"/>
        <n v="6"/>
        <n v="8.5"/>
        <m/>
      </sharedItems>
    </cacheField>
    <cacheField name="Style et trajectoire ">
      <sharedItems containsString="0" containsBlank="1" containsMixedTypes="0" containsNumber="1" count="6">
        <n v="6"/>
        <n v="7"/>
        <n v="8"/>
        <n v="6.5"/>
        <n v="7.5"/>
        <m/>
      </sharedItems>
    </cacheField>
    <cacheField name="Respect et franchise ">
      <sharedItems containsString="0" containsBlank="1" containsMixedTypes="0" containsNumber="1" count="6">
        <n v="7"/>
        <n v="8"/>
        <n v="6.5"/>
        <n v="6"/>
        <n v="7.5"/>
        <m/>
      </sharedItems>
    </cacheField>
    <cacheField name="TOTAL  OBSTACLE / 10">
      <sharedItems containsSemiMixedTypes="0" containsString="0" containsMixedTypes="0" containsNumber="1" count="46">
        <n v="6.375"/>
        <n v="7"/>
        <n v="8"/>
        <n v="6.5"/>
        <n v="6.875"/>
        <n v="6.25"/>
        <n v="7.25"/>
        <n v="6.625"/>
        <n v="7.5"/>
        <n v="0"/>
        <n v="7.125"/>
        <n v="6.75"/>
        <n v="6.125"/>
        <n v="4"/>
        <n v="4.25"/>
        <n v="4.5"/>
        <n v="4.875"/>
        <n v="5"/>
        <n v="5.25"/>
        <n v="5.3125"/>
        <n v="5.375"/>
        <n v="5.5"/>
        <n v="5.5625"/>
        <n v="5.625"/>
        <n v="5.75"/>
        <n v="5.8125"/>
        <n v="5.875"/>
        <n v="6"/>
        <n v="6.0625"/>
        <n v="6.1875"/>
        <n v="6.4375"/>
        <n v="6.5625"/>
        <n v="7.3125"/>
        <n v="7.375"/>
        <n v="7.4375"/>
        <n v="7.625"/>
        <n v="7.75"/>
        <n v="7.8125"/>
        <n v="7.875"/>
        <n v="7.9375"/>
        <n v="8.125"/>
        <n v="8.1875"/>
        <n v="8.25"/>
        <n v="8.375"/>
        <n v="8.5"/>
        <n v="9.25"/>
      </sharedItems>
    </cacheField>
    <cacheField name="Pas ">
      <sharedItems containsString="0" containsBlank="1" containsMixedTypes="0" containsNumber="1" count="8">
        <n v="7"/>
        <n v="5"/>
        <n v="7.5"/>
        <n v="5.5"/>
        <n v="8"/>
        <n v="6.5"/>
        <m/>
        <n v="8.5"/>
      </sharedItems>
    </cacheField>
    <cacheField name="Trot ">
      <sharedItems containsString="0" containsBlank="1" containsMixedTypes="0" containsNumber="1" count="8">
        <n v="6"/>
        <n v="5.5"/>
        <n v="8.5"/>
        <n v="7"/>
        <n v="7.5"/>
        <n v="8"/>
        <n v="6.5"/>
        <m/>
      </sharedItems>
    </cacheField>
    <cacheField name="Galop ">
      <sharedItems containsString="0" containsBlank="1" containsMixedTypes="0" containsNumber="1" count="6">
        <n v="6.5"/>
        <n v="7.5"/>
        <n v="8"/>
        <n v="7"/>
        <m/>
        <n v="6"/>
      </sharedItems>
    </cacheField>
    <cacheField name="TOTAL ALLURES / 10">
      <sharedItems containsSemiMixedTypes="0" containsString="0" containsMixedTypes="0" containsNumber="1" count="14">
        <n v="6.5"/>
        <n v="5.666666666666667"/>
        <n v="7.666666666666667"/>
        <n v="7.5"/>
        <n v="6.333333333333333"/>
        <n v="7.833333333333333"/>
        <n v="6.833333333333333"/>
        <n v="6.666666666666667"/>
        <n v="0"/>
        <n v="7.333333333333333"/>
        <n v="7"/>
        <n v="7.166666666666667"/>
        <n v="8"/>
        <n v="5.833333333333333"/>
      </sharedItems>
    </cacheField>
    <cacheField name="P?nalit?">
      <sharedItems containsString="0" containsBlank="1" count="1">
        <m/>
      </sharedItems>
    </cacheField>
    <cacheField name="TOTAL GENERAL DES 3 TESTS / 10">
      <sharedItems containsSemiMixedTypes="0" containsString="0" containsMixedTypes="0" containsNumber="1" count="18">
        <n v="6.825"/>
        <n v="6.65"/>
        <n v="7.8"/>
        <n v="7.35"/>
        <n v="7.375"/>
        <n v="7.45"/>
        <n v="7.125"/>
        <n v="7.425"/>
        <n v="6.95"/>
        <n v="7.325"/>
        <n v="7.025"/>
        <n v="6.75"/>
        <n v="0"/>
        <n v="7.175"/>
        <n v="6.925"/>
        <n v="7.2"/>
        <n v="6.725"/>
        <n v="6.025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3:AF26" sheet="Notes3A"/>
  </cacheSource>
  <cacheFields count="32">
    <cacheField name="N?">
      <sharedItems containsMixedTypes="1" containsNumber="1" containsInteger="1" count="76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s v="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</sharedItems>
    </cacheField>
    <cacheField name="Nom">
      <sharedItems containsMixedTypes="0" count="24">
        <s v="BYE BYE PARIS LE SAGE"/>
        <s v="BENEF DES BRIMBELLES"/>
        <s v="BOOSTER DE LA CROIX"/>
        <s v="BOSTON DES LONDES"/>
        <s v="BJORKO D'ORLOV"/>
        <s v="BOOMERANG RISLOIS"/>
        <s v="BLACK SWAN DU BUHOT"/>
        <s v="BORGUND D'ORLOV"/>
        <s v="BALDUR D'ORLOV"/>
        <s v="BEN DE VILLEE"/>
        <s v="BLUE JEANS"/>
        <s v="BIRTHDAY PARTY SQUARE"/>
        <s v="BE ICONIC SQUARE"/>
        <s v="BE A TEA ADDICT SQUAR"/>
        <s v="BARONE DE TAILLE"/>
        <s v="BETTY DU CLOS DRIEUX"/>
        <s v="BERENICE DE LOYE"/>
        <s v="BAZOOKA RISLOIS"/>
        <s v="BEAUTY ROCQ"/>
        <s v="BON DU TRESOR AU PENA"/>
        <s v="BRELAN D'AS"/>
        <s v="BELTAINE DEW CLADDAGH"/>
        <s v="BRIMBELLE DE CAZALS"/>
        <s v=""/>
      </sharedItems>
    </cacheField>
    <cacheField name="Section">
      <sharedItems containsBlank="1" containsMixedTypes="0" count="22">
        <s v="MB"/>
        <s v="MC"/>
        <s v="MD"/>
        <s v="HFB"/>
        <s v="HFD"/>
        <s v="HFE"/>
        <s v=""/>
        <s v="F&amp;H"/>
        <s v="FC"/>
        <s v="FD"/>
        <s v="H&amp;F B"/>
        <s v="H&amp;F C"/>
        <s v="H&amp;F D"/>
        <s v="HFA"/>
        <s v="HFC"/>
        <s v="M"/>
        <s v="M C"/>
        <s v="M D"/>
        <s v="M E"/>
        <s v="MA"/>
        <s v="ME"/>
        <m/>
      </sharedItems>
    </cacheField>
    <cacheField name="Race">
      <sharedItems containsMixedTypes="0" count="6">
        <s v="DA"/>
        <s v="PFS"/>
        <s v="OC"/>
        <s v="COPB"/>
        <s v="CO"/>
        <s v=""/>
      </sharedItems>
    </cacheField>
    <cacheField name="Taille">
      <sharedItems containsMixedTypes="1" containsNumber="1" containsInteger="1" count="42">
        <n v="121"/>
        <n v="138"/>
        <n v="145"/>
        <n v="146"/>
        <n v="147"/>
        <n v="148"/>
        <n v="125"/>
        <n v="144"/>
        <n v="149"/>
        <n v="141"/>
        <n v="153"/>
        <s v=""/>
        <n v="0"/>
        <n v="10"/>
        <n v="92"/>
        <n v="95"/>
        <n v="100"/>
        <n v="104"/>
        <n v="105"/>
        <n v="114"/>
        <n v="117"/>
        <n v="120"/>
        <n v="123"/>
        <n v="124"/>
        <n v="127"/>
        <n v="128"/>
        <n v="129"/>
        <n v="130"/>
        <n v="131"/>
        <n v="132"/>
        <n v="133"/>
        <n v="135"/>
        <n v="136"/>
        <n v="137"/>
        <n v="139"/>
        <n v="140"/>
        <n v="142"/>
        <n v="143"/>
        <n v="150"/>
        <n v="151"/>
        <n v="152"/>
        <n v="602"/>
      </sharedItems>
    </cacheField>
    <cacheField name="PROPRIETAIRE">
      <sharedItems containsMixedTypes="0" count="18">
        <s v="MME MELANIE VIVANT&#10;61170 ST JULIEN SUR SARTHE"/>
        <s v="M. JEAN-CHARLES THIBAUT&#10;61230 MARDILLY"/>
        <s v="DR.V MATHILDE LESOUEF&#10;14800 BONNEVILLE SUR TOUQUES"/>
        <s v="M. LAURENT LE TOURNEUR&#10;14400 TOUR EN BESSIN"/>
        <s v="M. PHILIPPE CHENOT&#10;61440 MESSEI"/>
        <s v="M. ARNAUD BONVALET&#10;27170 BEAUMONTEL"/>
        <s v="MME MARIE-CHRISTINE LESTELLE&#10;14710 FORMIGNY"/>
        <s v="M. CONSTANT SERUSIER&#10;72110 NOGENT LE BERNARD"/>
        <s v="MLLE FRANCOISE DUVAL&#10;27250 CHERONVILLIERS"/>
        <s v="MME AGNES BUISINE&#10;61230 MARDILLY"/>
        <s v="MME LYDIE HUAULT&#10;14410 BERNIERES LE PATRY"/>
        <s v="M. ROGER GRASMENIL&#10;50600 ST HILAIRE DU HARCOUET"/>
        <s v="MLLE JUSTINE RENAULT&#10;76480 LE MESNIL SOUS JUMIEGES"/>
        <s v="MLLE JENNIFER PARDANAUD&#10;61160 OMMEEL"/>
        <s v="M. SEBASTIEN MAILLET&#10;61290 LA LANDE SUR EURE"/>
        <s v="DR LAURE BOUGLE MANGIN&#10;61400 LE PIN LA GARENNE"/>
        <s v="M. GUILLAUME BLANC&#10;61570 ALMENECHES"/>
        <s v=""/>
      </sharedItems>
    </cacheField>
    <cacheField name="Adresse">
      <sharedItems containsMixedTypes="1" containsNumber="1" containsInteger="1" count="2">
        <n v="0"/>
        <s v=""/>
      </sharedItems>
    </cacheField>
    <cacheField name="NAISSEUR">
      <sharedItems containsMixedTypes="0" count="19">
        <s v="MME VIVANT MELANIE&#10;61170 ST JULIEN SUR SARTHE"/>
        <s v="M. THIBAUT JEAN-CHARLES&#10;61230 MARDILLY&#10;MME BREMAUD CLAUDIE&#10;61230 MARDILLY"/>
        <s v="DR.V LESOUEF MATHILDE&#10;14800 BONNEVILLE SUR TOUQUES"/>
        <s v="M. LE TOURNEUR LAURENT&#10;14400 TOUR EN BESSIN"/>
        <s v="D' ORLOV S.C.E.A.&#10;61440 MESSEI"/>
        <s v="M. BONVALET ARNAUD&#10;27170 BEAUMONTEL"/>
        <s v="MME LESTELLE MARIE-CHRISTINE&#10;14710 FORMIGNY"/>
        <s v="M. SERUSIER CONSTANT&#10;72110 NOGENT LE BERNARD"/>
        <s v="MLLE DUVAL FRANCOISE&#10;27250 CHERONVILLIERS"/>
        <s v="MME BUISINE AGNES&#10;61230 MARDILLY"/>
        <s v="MME HUAULT LYDIE&#10;14410 BERNIERES LE PATRY"/>
        <s v="M. GRASMENIL ROGER&#10;50600 ST HILAIRE DU HARCOUET"/>
        <s v="MME PARISOT LUCETTE&#10;61470 LE SAP"/>
        <s v="M. LELEU JACK&#10;14340 LA ROQUE BAIGNARD&#10;M. LELEU LUDOVIC&#10;14700 ERAINES"/>
        <s v="MME MAILLET CHRISTELLE&#10;61290 LA LANDE SUR EURE&#10;M. MAILLET SEBASTIEN&#10;61290 LA LANDE SUR EURE"/>
        <s v="DR BOUGLE MANGIN LAURE&#10;61400 LE PIN LA GARENNE"/>
        <s v="MME CAILLAREC CLAIRE&#10;61570 ALMENECHES"/>
        <s v="M. LEONARDIS JEAN-BAPTISTE&#10;82600 VERDUN SUR GARONNE&#10;MME LEONARDIS CELINE&#10;82600 VERDUN SUR GARONNE"/>
        <s v=""/>
      </sharedItems>
    </cacheField>
    <cacheField name="ADRESSE NAISSEUR">
      <sharedItems containsMixedTypes="1" containsNumber="1" containsInteger="1" count="2">
        <n v="0"/>
        <s v=""/>
      </sharedItems>
    </cacheField>
    <cacheField name="Cavalier">
      <sharedItems containsMixedTypes="0" count="18">
        <s v="MME Mélanie VIVANT"/>
        <s v="MLLE Jennifer PARDANAUD"/>
        <s v="DR.V Mathilde LESOUEF"/>
        <s v="M. Philippe CHENOT"/>
        <s v="MLLE Charlène DUVEY"/>
        <s v="MLLE Marion LESTELLE"/>
        <s v="MME Eugénie MUNIER"/>
        <s v="M. Gabin CHOCU"/>
        <s v="M. Timothée THIBAUT"/>
        <s v="Mlle. Colline MASSOT"/>
        <s v="Mlle Régina PAGNON"/>
        <s v="MLLE Clémence HUAULT"/>
        <s v="MLLE Coralie CLEMENT"/>
        <s v="MLLE Justine RENAULT"/>
        <s v="MLLE Valentine LEHEMBRE"/>
        <s v="MLLE Léa BOUGLE"/>
        <s v="M. Guillaume BLANC"/>
        <s v=""/>
      </sharedItems>
    </cacheField>
    <cacheField name="T?te et encolure ">
      <sharedItems containsString="0" containsBlank="1" containsMixedTypes="0" containsNumber="1" count="7">
        <n v="7"/>
        <n v="6.5"/>
        <n v="7.5"/>
        <n v="8"/>
        <m/>
        <n v="8.5"/>
        <n v="6"/>
      </sharedItems>
    </cacheField>
    <cacheField name="Epaule, bras ">
      <sharedItems containsString="0" containsBlank="1" containsMixedTypes="0" containsNumber="1" count="7">
        <n v="7"/>
        <n v="6.5"/>
        <n v="8"/>
        <n v="7.5"/>
        <n v="8.5"/>
        <m/>
        <n v="6"/>
      </sharedItems>
    </cacheField>
    <cacheField name="Garrot, dos, rein ">
      <sharedItems containsString="0" containsBlank="1" containsMixedTypes="0" containsNumber="1" count="7">
        <n v="7.5"/>
        <n v="7"/>
        <n v="8"/>
        <n v="6.5"/>
        <n v="6"/>
        <m/>
        <n v="5.5"/>
      </sharedItems>
    </cacheField>
    <cacheField name="Croupe et cuisse ">
      <sharedItems containsString="0" containsBlank="1" containsMixedTypes="0" containsNumber="1" count="7">
        <n v="7"/>
        <n v="7.5"/>
        <n v="8"/>
        <n v="6.5"/>
        <m/>
        <n v="6"/>
        <n v="8.5"/>
      </sharedItems>
    </cacheField>
    <cacheField name="Profondeur, ?paisseur ">
      <sharedItems containsString="0" containsBlank="1" containsMixedTypes="0" containsNumber="1" count="4">
        <n v="7.5"/>
        <n v="7"/>
        <n v="8"/>
        <m/>
      </sharedItems>
    </cacheField>
    <cacheField name="Ant?rieurs (aplombs, solidit?, ?paisseur)">
      <sharedItems containsString="0" containsBlank="1" containsMixedTypes="0" containsNumber="1" count="7">
        <n v="6"/>
        <n v="7"/>
        <n v="7.5"/>
        <n v="6.5"/>
        <m/>
        <n v="5.5"/>
        <n v="5"/>
      </sharedItems>
    </cacheField>
    <cacheField name="Post?rieurs (aplombs, solidit?, ?paisseur)">
      <sharedItems containsString="0" containsBlank="1" containsMixedTypes="0" containsNumber="1" count="6">
        <n v="7.5"/>
        <n v="7"/>
        <n v="8"/>
        <n v="6.5"/>
        <m/>
        <n v="6"/>
      </sharedItems>
    </cacheField>
    <cacheField name="Tissus, ?tat ">
      <sharedItems containsString="0" containsBlank="1" containsMixedTypes="0" containsNumber="1" count="6">
        <n v="7.5"/>
        <n v="8"/>
        <n v="7"/>
        <m/>
        <n v="6.5"/>
        <n v="6"/>
      </sharedItems>
    </cacheField>
    <cacheField name="Harmonie g?n?rale  /10 ( Coef. 2)">
      <sharedItems containsString="0" containsBlank="1" containsMixedTypes="0" containsNumber="1" count="6">
        <n v="7.5"/>
        <n v="8"/>
        <n v="7"/>
        <m/>
        <n v="6"/>
        <n v="6.5"/>
      </sharedItems>
    </cacheField>
    <cacheField name=" + Avantage, - P?nalit?">
      <sharedItems containsString="0" containsBlank="1" count="1">
        <m/>
      </sharedItems>
    </cacheField>
    <cacheField name="TOTAL  MOD?LE / 10">
      <sharedItems containsSemiMixedTypes="0" containsString="0" containsMixedTypes="0" containsNumber="1" count="28">
        <n v="7.2"/>
        <n v="7.1"/>
        <n v="7.8"/>
        <n v="7.6"/>
        <n v="7.05"/>
        <n v="7.4"/>
        <n v="7.65"/>
        <n v="7.25"/>
        <n v="7.45"/>
        <n v="7.15"/>
        <n v="7.35"/>
        <n v="6.85"/>
        <n v="6.95"/>
        <n v="0"/>
        <n v="6.45"/>
        <n v="6.9"/>
        <n v="7.5"/>
        <n v="6.8"/>
        <n v="6.1"/>
        <n v="5.6"/>
        <n v="5.9"/>
        <n v="6"/>
        <n v="6.2"/>
        <n v="6.5"/>
        <n v="6.6"/>
        <n v="6.7"/>
        <n v="7.3"/>
        <n v="7.9"/>
      </sharedItems>
    </cacheField>
    <cacheField name="Equilibre, Abord ">
      <sharedItems containsString="0" containsBlank="1" containsMixedTypes="0" containsNumber="1" count="6">
        <n v="6"/>
        <n v="7"/>
        <n v="8"/>
        <n v="6.5"/>
        <n v="7.5"/>
        <m/>
      </sharedItems>
    </cacheField>
    <cacheField name="Force et couverture ">
      <sharedItems containsString="0" containsBlank="1" containsMixedTypes="0" containsNumber="1" count="7">
        <n v="6.5"/>
        <n v="7"/>
        <n v="8"/>
        <n v="7.5"/>
        <n v="6"/>
        <n v="8.5"/>
        <m/>
      </sharedItems>
    </cacheField>
    <cacheField name="Style et trajectoire ">
      <sharedItems containsString="0" containsBlank="1" containsMixedTypes="0" containsNumber="1" count="6">
        <n v="6"/>
        <n v="7"/>
        <n v="8"/>
        <n v="6.5"/>
        <n v="7.5"/>
        <m/>
      </sharedItems>
    </cacheField>
    <cacheField name="Respect et franchise ">
      <sharedItems containsString="0" containsBlank="1" containsMixedTypes="0" containsNumber="1" count="6">
        <n v="7"/>
        <n v="8"/>
        <n v="6.5"/>
        <n v="6"/>
        <n v="7.5"/>
        <m/>
      </sharedItems>
    </cacheField>
    <cacheField name="TOTAL  OBSTACLE / 10">
      <sharedItems containsSemiMixedTypes="0" containsString="0" containsMixedTypes="0" containsNumber="1" count="13">
        <n v="6.375"/>
        <n v="7"/>
        <n v="8"/>
        <n v="6.5"/>
        <n v="6.875"/>
        <n v="6.25"/>
        <n v="7.25"/>
        <n v="6.625"/>
        <n v="7.5"/>
        <n v="0"/>
        <n v="7.125"/>
        <n v="6.75"/>
        <n v="6.125"/>
      </sharedItems>
    </cacheField>
    <cacheField name="Pas ">
      <sharedItems containsString="0" containsBlank="1" containsMixedTypes="0" containsNumber="1" count="8">
        <n v="7"/>
        <n v="5"/>
        <n v="7.5"/>
        <n v="5.5"/>
        <n v="8"/>
        <n v="6.5"/>
        <m/>
        <n v="8.5"/>
      </sharedItems>
    </cacheField>
    <cacheField name="Trot ">
      <sharedItems containsString="0" containsBlank="1" containsMixedTypes="0" containsNumber="1" count="8">
        <n v="6"/>
        <n v="5.5"/>
        <n v="8.5"/>
        <n v="7"/>
        <n v="7.5"/>
        <n v="8"/>
        <n v="6.5"/>
        <m/>
      </sharedItems>
    </cacheField>
    <cacheField name="Galop ">
      <sharedItems containsString="0" containsBlank="1" containsMixedTypes="0" containsNumber="1" count="6">
        <n v="6.5"/>
        <n v="7.5"/>
        <n v="8"/>
        <n v="7"/>
        <m/>
        <n v="6"/>
      </sharedItems>
    </cacheField>
    <cacheField name="TOTAL ALLURES / 10">
      <sharedItems containsSemiMixedTypes="0" containsString="0" containsMixedTypes="0" containsNumber="1" count="14">
        <n v="6.5"/>
        <n v="5.666666666666667"/>
        <n v="7.666666666666667"/>
        <n v="7.5"/>
        <n v="6.333333333333333"/>
        <n v="7.833333333333333"/>
        <n v="6.833333333333333"/>
        <n v="6.666666666666667"/>
        <n v="0"/>
        <n v="7.333333333333333"/>
        <n v="7"/>
        <n v="7.166666666666667"/>
        <n v="8"/>
        <n v="5.833333333333333"/>
      </sharedItems>
    </cacheField>
    <cacheField name="P?nalit?">
      <sharedItems containsString="0" containsBlank="1" count="1">
        <m/>
      </sharedItems>
    </cacheField>
    <cacheField name="TOTAL GENERAL DES 3 TESTS / 10">
      <sharedItems containsSemiMixedTypes="0" containsString="0" containsMixedTypes="0" containsNumber="1" count="236">
        <n v="6.825"/>
        <n v="6.65"/>
        <n v="7.8"/>
        <n v="7.35"/>
        <n v="7.375"/>
        <n v="7.45"/>
        <n v="7.125"/>
        <n v="7.425"/>
        <n v="6.95"/>
        <n v="7.325"/>
        <n v="7.025"/>
        <n v="6.75"/>
        <n v="0"/>
        <n v="7.175"/>
        <n v="6.925"/>
        <n v="7.2"/>
        <n v="6.725"/>
        <n v="6.025"/>
        <n v="0.3"/>
        <n v="0.5"/>
        <n v="0.6"/>
        <n v="0.7"/>
        <n v="0.8"/>
        <n v="0.9"/>
        <n v="0.9678571428571431"/>
        <n v="1"/>
        <n v="1.01904761904762"/>
        <n v="1.05"/>
        <n v="1.0702380952381"/>
        <n v="1.075"/>
        <n v="1.1"/>
        <n v="1.1214285714285699"/>
        <n v="1.15"/>
        <n v="1.1625"/>
        <n v="1.17261904761905"/>
        <n v="1.175"/>
        <n v="1.2"/>
        <n v="1.2125"/>
        <n v="1.22380952380952"/>
        <n v="1.225"/>
        <n v="1.25"/>
        <n v="1.275"/>
        <n v="1.3"/>
        <n v="1.32619047619048"/>
        <n v="1.35"/>
        <n v="1.375"/>
        <n v="1.3773809523809502"/>
        <n v="1.4"/>
        <n v="1.425"/>
        <n v="1.4285714285714302"/>
        <n v="1.45"/>
        <n v="1.4797619047619002"/>
        <n v="1.53095238095238"/>
        <n v="1.5625"/>
        <n v="1.575"/>
        <n v="1.5821428571428602"/>
        <n v="1.6"/>
        <n v="1.625"/>
        <n v="1.63333333333333"/>
        <n v="1.6375"/>
        <n v="1.6845238095238098"/>
        <n v="1.73571428571429"/>
        <n v="1.78690476190476"/>
        <n v="1.83809523809524"/>
        <n v="1.88928571428571"/>
        <n v="1.9404761904761902"/>
        <n v="1.99166666666667"/>
        <n v="2.0428571428571503"/>
        <n v="2.09404761904762"/>
        <n v="2.1452380952381"/>
        <n v="2.19642857142858"/>
        <n v="2.24761904761905"/>
        <n v="2.2988095238095303"/>
        <n v="2.35"/>
        <n v="2.4011904761904797"/>
        <n v="2.4523809523809605"/>
        <n v="2.50357142857143"/>
        <n v="2.55476190476191"/>
        <n v="2.60595238095238"/>
        <n v="2.6571428571428597"/>
        <n v="2.75"/>
        <n v="3.15"/>
        <n v="3.2"/>
        <n v="3.275"/>
        <n v="3.2875"/>
        <n v="3.4"/>
        <n v="3.45"/>
        <n v="3.5375"/>
        <n v="3.55"/>
        <n v="4.05"/>
        <n v="4.2"/>
        <n v="4.2125"/>
        <n v="4.225"/>
        <n v="4.2375"/>
        <n v="4.25"/>
        <n v="4.2625"/>
        <n v="4.275"/>
        <n v="4.3"/>
        <n v="4.35"/>
        <n v="4.375"/>
        <n v="4.4"/>
        <n v="4.425"/>
        <n v="4.45"/>
        <n v="4.475"/>
        <n v="4.5"/>
        <n v="4.5125"/>
        <n v="4.525"/>
        <n v="4.55"/>
        <n v="4.575"/>
        <n v="4.6"/>
        <n v="4.6125"/>
        <n v="4.6375"/>
        <n v="4.65"/>
        <n v="4.675"/>
        <n v="4.6875"/>
        <n v="4.7"/>
        <n v="4.725"/>
        <n v="4.75"/>
        <n v="4.7625"/>
        <n v="4.775"/>
        <n v="4.8"/>
        <n v="4.8125"/>
        <n v="4.825"/>
        <n v="4.85"/>
        <n v="4.8625"/>
        <n v="4.875"/>
        <n v="4.9"/>
        <n v="4.925"/>
        <n v="4.95"/>
        <n v="4.9625"/>
        <n v="4.975"/>
        <n v="5"/>
        <n v="5.025"/>
        <n v="5.0375"/>
        <n v="5.05"/>
        <n v="5.0625"/>
        <n v="5.075"/>
        <n v="5.1"/>
        <n v="5.1375"/>
        <n v="5.15"/>
        <n v="5.175"/>
        <n v="5.2"/>
        <n v="5.225"/>
        <n v="5.2625"/>
        <n v="5.275"/>
        <n v="5.2875"/>
        <n v="5.3"/>
        <n v="5.34"/>
        <n v="5.35"/>
        <n v="5.4"/>
        <n v="5.4375"/>
        <n v="5.625"/>
        <n v="5.725"/>
        <n v="5.8"/>
        <n v="5.875"/>
        <n v="5.9375"/>
        <n v="5.95"/>
        <n v="5.975"/>
        <n v="6.0125"/>
        <n v="6.075"/>
        <n v="6.1"/>
        <n v="6.125"/>
        <n v="6.15"/>
        <n v="6.1625"/>
        <n v="6.175"/>
        <n v="6.2"/>
        <n v="6.2125"/>
        <n v="6.225"/>
        <n v="6.25"/>
        <n v="6.275"/>
        <n v="6.3"/>
        <n v="6.325"/>
        <n v="6.35"/>
        <n v="6.3625"/>
        <n v="6.375"/>
        <n v="6.4"/>
        <n v="6.425"/>
        <n v="6.45"/>
        <n v="6.475"/>
        <n v="6.5"/>
        <n v="6.525"/>
        <n v="6.529999999999999"/>
        <n v="6.55"/>
        <n v="6.575"/>
        <n v="6.5875"/>
        <n v="6.6"/>
        <n v="6.6125"/>
        <n v="6.625"/>
        <n v="6.6375"/>
        <n v="6.6625"/>
        <n v="6.675"/>
        <n v="6.7"/>
        <n v="6.7375"/>
        <n v="6.775"/>
        <n v="6.8"/>
        <n v="6.85"/>
        <n v="6.8625"/>
        <n v="6.875"/>
        <n v="6.8875"/>
        <n v="6.9"/>
        <n v="6.9125"/>
        <n v="6.975"/>
        <n v="6.9875"/>
        <n v="7"/>
        <n v="7.0375"/>
        <n v="7.05"/>
        <n v="7.0625"/>
        <n v="7.075"/>
        <n v="7.0875"/>
        <n v="7.1"/>
        <n v="7.15"/>
        <n v="7.1875"/>
        <n v="7.225"/>
        <n v="7.25"/>
        <n v="7.275"/>
        <n v="7.3"/>
        <n v="7.3375"/>
        <n v="7.4"/>
        <n v="7.4375"/>
        <n v="7.49"/>
        <n v="7.5"/>
        <n v="7.525"/>
        <n v="7.5375"/>
        <n v="7.55"/>
        <n v="7.575"/>
        <n v="7.6"/>
        <n v="7.625"/>
        <n v="7.65"/>
        <n v="7.7"/>
        <n v="7.7125"/>
        <n v="7.75"/>
        <n v="7.775"/>
        <n v="7.9"/>
        <n v="7.925"/>
        <n v="7.95"/>
        <n v="8.17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Tableau croisé dynamique2" cacheId="38" applyNumberFormats="0" applyBorderFormats="0" applyFontFormats="0" applyPatternFormats="0" applyAlignmentFormats="0" applyWidthHeightFormats="0" dataCaption="Donn?es" showMissing="1" enableDrill="0" preserveFormatting="1" useAutoFormatting="1" rowGrandTotals="0" colGrandTotals="0" itemPrintTitles="1" compactData="0" updatedVersion="2" indent="0" showMemberPropertyTips="1">
  <location ref="A2:E25" firstHeaderRow="2" firstDataRow="2" firstDataCol="4"/>
  <pivotFields count="32">
    <pivotField axis="axisRow" dataField="1" compact="0" outline="0" subtotalTop="0" showAll="0">
      <items count="7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m="1" x="24"/>
        <item m="1" x="25"/>
        <item m="1" x="26"/>
        <item m="1" x="27"/>
        <item m="1" x="28"/>
        <item m="1" x="30"/>
        <item m="1" x="31"/>
        <item m="1" x="32"/>
        <item m="1" x="33"/>
        <item m="1" x="34"/>
        <item m="1" x="35"/>
        <item m="1" x="36"/>
        <item m="1" x="37"/>
        <item m="1" x="38"/>
        <item m="1" x="39"/>
        <item m="1" x="40"/>
        <item m="1" x="41"/>
        <item m="1" x="42"/>
        <item m="1" x="43"/>
        <item m="1" x="44"/>
        <item m="1" x="45"/>
        <item m="1" x="46"/>
        <item m="1" x="47"/>
        <item m="1" x="48"/>
        <item m="1" x="49"/>
        <item m="1" x="50"/>
        <item m="1" x="51"/>
        <item m="1" x="52"/>
        <item m="1" x="53"/>
        <item m="1" x="54"/>
        <item m="1" x="55"/>
        <item m="1" x="56"/>
        <item m="1" x="57"/>
        <item m="1" x="58"/>
        <item m="1" x="59"/>
        <item m="1" x="60"/>
        <item m="1" x="61"/>
        <item m="1" x="62"/>
        <item m="1" x="63"/>
        <item m="1" x="64"/>
        <item m="1" x="65"/>
        <item m="1" x="66"/>
        <item m="1" x="67"/>
        <item m="1" x="68"/>
        <item m="1" x="69"/>
        <item m="1" x="70"/>
        <item m="1" x="71"/>
        <item m="1" x="72"/>
        <item m="1" x="73"/>
        <item m="1" x="74"/>
        <item m="1" x="75"/>
        <item x="23"/>
        <item m="1" x="29"/>
        <item t="default"/>
      </items>
    </pivotField>
    <pivotField compact="0" outline="0" subtotalTop="0" showAll="0"/>
    <pivotField axis="axisRow" compact="0" outline="0" subtotalTop="0" showAll="0" rankBy="0" defaultSubtotal="0">
      <items count="22">
        <item m="1" x="19"/>
        <item x="0"/>
        <item x="1"/>
        <item x="2"/>
        <item m="1" x="20"/>
        <item m="1" x="13"/>
        <item x="3"/>
        <item m="1" x="14"/>
        <item h="1" x="6"/>
        <item m="1" x="7"/>
        <item m="1" x="8"/>
        <item m="1" x="9"/>
        <item m="1" x="10"/>
        <item m="1" x="11"/>
        <item m="1" x="12"/>
        <item x="5"/>
        <item m="1" x="15"/>
        <item m="1" x="16"/>
        <item m="1" x="17"/>
        <item m="1" x="18"/>
        <item h="1" m="1" x="21"/>
        <item x="4"/>
      </items>
    </pivotField>
    <pivotField compact="0" outline="0" subtotalTop="0" showAll="0"/>
    <pivotField compact="0" outline="0" subtotalTop="0" showAll="0" defaultSubtota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numFmtId="169" defaultSubtotal="0">
      <items count="28">
        <item m="1" x="27"/>
        <item x="5"/>
        <item m="1" x="26"/>
        <item x="0"/>
        <item x="1"/>
        <item x="15"/>
        <item x="17"/>
        <item m="1" x="25"/>
        <item m="1" x="24"/>
        <item m="1" x="23"/>
        <item m="1" x="22"/>
        <item x="18"/>
        <item m="1" x="21"/>
        <item m="1" x="20"/>
        <item m="1" x="19"/>
        <item x="13"/>
        <item x="2"/>
        <item x="3"/>
        <item x="4"/>
        <item x="6"/>
        <item x="7"/>
        <item x="8"/>
        <item x="9"/>
        <item x="10"/>
        <item x="11"/>
        <item x="12"/>
        <item x="14"/>
        <item x="16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69" defaultSubtota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69" defaultSubtotal="0"/>
    <pivotField compact="0" outline="0" subtotalTop="0" showAll="0"/>
    <pivotField axis="axisRow" compact="0" outline="0" subtotalTop="0" showAll="0" sortType="descending" numFmtId="169" name="TOTAL GENERAL" defaultSubtotal="0">
      <items count="236">
        <item m="1" x="235"/>
        <item m="1" x="234"/>
        <item m="1" x="233"/>
        <item m="1" x="232"/>
        <item x="2"/>
        <item m="1" x="231"/>
        <item m="1" x="230"/>
        <item m="1" x="229"/>
        <item m="1" x="228"/>
        <item m="1" x="227"/>
        <item m="1" x="226"/>
        <item m="1" x="225"/>
        <item m="1" x="224"/>
        <item m="1" x="223"/>
        <item m="1" x="222"/>
        <item m="1" x="221"/>
        <item m="1" x="220"/>
        <item m="1" x="219"/>
        <item x="5"/>
        <item m="1" x="218"/>
        <item x="7"/>
        <item m="1" x="217"/>
        <item x="4"/>
        <item x="3"/>
        <item m="1" x="216"/>
        <item x="9"/>
        <item m="1" x="215"/>
        <item m="1" x="214"/>
        <item m="1" x="213"/>
        <item m="1" x="212"/>
        <item x="15"/>
        <item m="1" x="211"/>
        <item x="13"/>
        <item m="1" x="210"/>
        <item x="6"/>
        <item m="1" x="209"/>
        <item m="1" x="208"/>
        <item m="1" x="207"/>
        <item m="1" x="206"/>
        <item m="1" x="205"/>
        <item m="1" x="204"/>
        <item x="10"/>
        <item m="1" x="203"/>
        <item m="1" x="202"/>
        <item m="1" x="201"/>
        <item x="8"/>
        <item x="14"/>
        <item m="1" x="200"/>
        <item m="1" x="199"/>
        <item m="1" x="198"/>
        <item m="1" x="197"/>
        <item m="1" x="196"/>
        <item m="1" x="195"/>
        <item x="0"/>
        <item m="1" x="194"/>
        <item m="1" x="193"/>
        <item x="11"/>
        <item m="1" x="192"/>
        <item x="16"/>
        <item m="1" x="191"/>
        <item m="1" x="190"/>
        <item m="1" x="189"/>
        <item x="1"/>
        <item m="1" x="188"/>
        <item m="1" x="187"/>
        <item m="1" x="186"/>
        <item m="1" x="185"/>
        <item m="1" x="184"/>
        <item m="1" x="183"/>
        <item m="1" x="182"/>
        <item m="1" x="181"/>
        <item m="1" x="180"/>
        <item m="1" x="179"/>
        <item m="1" x="178"/>
        <item m="1" x="177"/>
        <item m="1" x="176"/>
        <item m="1" x="175"/>
        <item m="1" x="174"/>
        <item m="1" x="173"/>
        <item m="1" x="172"/>
        <item m="1" x="171"/>
        <item m="1" x="170"/>
        <item m="1" x="169"/>
        <item m="1" x="168"/>
        <item m="1" x="167"/>
        <item m="1" x="166"/>
        <item m="1" x="165"/>
        <item m="1" x="164"/>
        <item m="1" x="163"/>
        <item m="1" x="162"/>
        <item m="1" x="161"/>
        <item m="1" x="160"/>
        <item m="1" x="159"/>
        <item x="17"/>
        <item m="1" x="158"/>
        <item m="1" x="157"/>
        <item m="1" x="156"/>
        <item m="1" x="155"/>
        <item m="1" x="154"/>
        <item m="1" x="153"/>
        <item m="1" x="152"/>
        <item m="1" x="151"/>
        <item m="1" x="150"/>
        <item m="1" x="149"/>
        <item m="1" x="148"/>
        <item m="1" x="147"/>
        <item m="1" x="146"/>
        <item m="1" x="145"/>
        <item m="1" x="144"/>
        <item m="1" x="143"/>
        <item m="1" x="142"/>
        <item m="1" x="141"/>
        <item m="1" x="140"/>
        <item m="1" x="139"/>
        <item m="1" x="138"/>
        <item m="1" x="137"/>
        <item m="1" x="136"/>
        <item m="1" x="135"/>
        <item m="1" x="134"/>
        <item m="1" x="133"/>
        <item m="1" x="132"/>
        <item m="1" x="131"/>
        <item m="1" x="130"/>
        <item m="1" x="129"/>
        <item m="1" x="128"/>
        <item m="1" x="127"/>
        <item m="1" x="126"/>
        <item m="1" x="125"/>
        <item m="1" x="124"/>
        <item m="1" x="123"/>
        <item m="1" x="122"/>
        <item m="1" x="121"/>
        <item m="1" x="120"/>
        <item m="1" x="119"/>
        <item m="1" x="118"/>
        <item m="1" x="117"/>
        <item m="1" x="116"/>
        <item m="1" x="115"/>
        <item m="1" x="114"/>
        <item m="1" x="113"/>
        <item m="1" x="112"/>
        <item m="1" x="111"/>
        <item m="1" x="110"/>
        <item m="1" x="109"/>
        <item m="1" x="108"/>
        <item m="1" x="107"/>
        <item m="1" x="106"/>
        <item m="1" x="105"/>
        <item m="1" x="104"/>
        <item m="1" x="103"/>
        <item m="1" x="102"/>
        <item m="1" x="101"/>
        <item m="1" x="100"/>
        <item m="1" x="99"/>
        <item m="1" x="98"/>
        <item m="1" x="97"/>
        <item m="1" x="96"/>
        <item m="1" x="95"/>
        <item m="1" x="94"/>
        <item m="1" x="93"/>
        <item m="1" x="92"/>
        <item m="1" x="91"/>
        <item m="1" x="90"/>
        <item m="1" x="89"/>
        <item m="1" x="88"/>
        <item m="1" x="87"/>
        <item m="1" x="86"/>
        <item m="1" x="85"/>
        <item m="1" x="84"/>
        <item m="1" x="83"/>
        <item m="1" x="82"/>
        <item m="1" x="81"/>
        <item m="1" x="80"/>
        <item m="1" x="79"/>
        <item m="1" x="78"/>
        <item m="1" x="77"/>
        <item m="1" x="76"/>
        <item m="1" x="75"/>
        <item m="1" x="74"/>
        <item m="1" x="73"/>
        <item m="1" x="72"/>
        <item m="1" x="71"/>
        <item m="1" x="70"/>
        <item m="1" x="69"/>
        <item m="1" x="68"/>
        <item m="1" x="67"/>
        <item m="1" x="66"/>
        <item m="1" x="65"/>
        <item m="1" x="64"/>
        <item m="1" x="63"/>
        <item m="1" x="62"/>
        <item m="1" x="61"/>
        <item m="1" x="60"/>
        <item m="1" x="59"/>
        <item m="1" x="58"/>
        <item m="1" x="57"/>
        <item m="1" x="56"/>
        <item m="1" x="55"/>
        <item m="1" x="54"/>
        <item m="1" x="53"/>
        <item m="1" x="52"/>
        <item m="1" x="51"/>
        <item m="1" x="50"/>
        <item m="1" x="49"/>
        <item m="1" x="48"/>
        <item m="1" x="47"/>
        <item m="1" x="46"/>
        <item m="1" x="45"/>
        <item m="1" x="44"/>
        <item m="1" x="43"/>
        <item m="1" x="42"/>
        <item m="1" x="41"/>
        <item m="1" x="40"/>
        <item m="1" x="39"/>
        <item m="1" x="38"/>
        <item m="1" x="37"/>
        <item m="1" x="36"/>
        <item m="1" x="35"/>
        <item m="1" x="34"/>
        <item m="1" x="33"/>
        <item m="1" x="32"/>
        <item m="1" x="31"/>
        <item m="1" x="30"/>
        <item m="1" x="29"/>
        <item m="1" x="28"/>
        <item m="1" x="27"/>
        <item m="1" x="26"/>
        <item m="1" x="25"/>
        <item m="1" x="24"/>
        <item m="1" x="23"/>
        <item m="1" x="22"/>
        <item m="1" x="21"/>
        <item m="1" x="20"/>
        <item m="1" x="19"/>
        <item m="1" x="18"/>
        <item h="1" x="12"/>
      </items>
    </pivotField>
  </pivotFields>
  <rowFields count="4">
    <field x="2"/>
    <field x="31"/>
    <field x="20"/>
    <field x="0"/>
  </rowFields>
  <rowItems count="22">
    <i>
      <x v="1"/>
      <x v="53"/>
      <x v="3"/>
      <x/>
    </i>
    <i>
      <x v="2"/>
      <x v="62"/>
      <x v="4"/>
      <x v="1"/>
    </i>
    <i>
      <x v="3"/>
      <x v="4"/>
      <x v="16"/>
      <x v="2"/>
    </i>
    <i r="1">
      <x v="18"/>
      <x v="19"/>
      <x v="6"/>
    </i>
    <i r="1">
      <x v="20"/>
      <x v="21"/>
      <x v="8"/>
    </i>
    <i r="1">
      <x v="22"/>
      <x v="1"/>
      <x v="5"/>
    </i>
    <i r="1">
      <x v="23"/>
      <x v="17"/>
      <x v="3"/>
    </i>
    <i r="1">
      <x v="25"/>
      <x v="23"/>
      <x v="10"/>
    </i>
    <i r="1">
      <x v="34"/>
      <x v="20"/>
      <x v="7"/>
    </i>
    <i r="1">
      <x v="45"/>
      <x v="22"/>
      <x v="9"/>
    </i>
    <i r="1">
      <x v="53"/>
      <x v="18"/>
      <x v="4"/>
    </i>
    <i>
      <x v="6"/>
      <x v="41"/>
      <x v="25"/>
      <x v="12"/>
    </i>
    <i r="1">
      <x v="56"/>
      <x v="24"/>
      <x v="13"/>
    </i>
    <i r="1">
      <x v="62"/>
      <x v="24"/>
      <x v="11"/>
    </i>
    <i>
      <x v="15"/>
      <x v="93"/>
      <x v="11"/>
      <x v="22"/>
    </i>
    <i>
      <x v="21"/>
      <x v="18"/>
      <x v="27"/>
      <x v="20"/>
    </i>
    <i r="1">
      <x v="20"/>
      <x v="18"/>
      <x v="19"/>
    </i>
    <i r="1">
      <x v="30"/>
      <x v="5"/>
      <x v="18"/>
    </i>
    <i r="1">
      <x v="32"/>
      <x v="1"/>
      <x v="15"/>
    </i>
    <i r="1">
      <x v="46"/>
      <x v="23"/>
      <x v="17"/>
    </i>
    <i r="1">
      <x v="56"/>
      <x v="26"/>
      <x v="16"/>
    </i>
    <i r="1">
      <x v="58"/>
      <x v="6"/>
      <x v="21"/>
    </i>
  </rowItems>
  <colItems count="1">
    <i/>
  </colItems>
  <dataFields count="1">
    <dataField name="TRI" fld="0" baseField="0" baseItem="0"/>
  </dataFields>
  <formats count="12">
    <format dxfId="0">
      <pivotArea outline="0" fieldPosition="0" dataOnly="0" labelOnly="1" offset="A1" type="origin"/>
    </format>
    <format dxfId="1">
      <pivotArea outline="0" fieldPosition="0" dataOnly="0" labelOnly="1" type="origin"/>
    </format>
    <format dxfId="2">
      <pivotArea outline="0" fieldPosition="0" dataOnly="0" labelOnly="1" type="origin"/>
    </format>
    <format dxfId="3">
      <pivotArea outline="0" fieldPosition="0" dataOnly="0" labelOnly="1" type="origin"/>
    </format>
    <format dxfId="4">
      <pivotArea outline="0" fieldPosition="0" axis="axisRow" dataOnly="0" field="2" labelOnly="1" type="button"/>
    </format>
    <format dxfId="4">
      <pivotArea outline="0" fieldPosition="4" dataOnly="0" field="4" labelOnly="1" type="button"/>
    </format>
    <format dxfId="4">
      <pivotArea outline="0" fieldPosition="3" axis="axisRow" dataOnly="0" field="0" labelOnly="1" type="button"/>
    </format>
    <format dxfId="5">
      <pivotArea outline="0" fieldPosition="0" dataOnly="0" labelOnly="1" type="origin"/>
    </format>
    <format dxfId="5">
      <pivotArea outline="0" fieldPosition="0" dataOnly="0" labelOnly="1" type="topRight"/>
    </format>
    <format dxfId="6">
      <pivotArea outline="0" fieldPosition="0" dataOnly="0" type="all"/>
    </format>
    <format dxfId="7">
      <pivotArea outline="0" fieldPosition="0" dataOnly="0" type="all"/>
    </format>
    <format dxfId="8">
      <pivotArea outline="0" fieldPosition="1" axis="axisRow" dataOnly="0" field="31" labelOnly="1" type="button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eau croisé dynamique4" cacheId="48" applyNumberFormats="0" applyBorderFormats="0" applyFontFormats="0" applyPatternFormats="0" applyAlignmentFormats="0" applyWidthHeightFormats="0" dataCaption="Donn?es" showMissing="1" preserveFormatting="1" useAutoFormatting="1" rowGrandTotals="0" colGrandTotals="0" itemPrintTitles="1" compactData="0" updatedVersion="2" indent="0" showMemberPropertyTips="1">
  <location ref="A2:E25" firstHeaderRow="2" firstDataRow="2" firstDataCol="4"/>
  <pivotFields count="32">
    <pivotField axis="axisRow" dataField="1" compact="0" outline="0" subtotalTop="0" showAll="0">
      <items count="7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m="1" x="24"/>
        <item m="1" x="25"/>
        <item m="1" x="26"/>
        <item m="1" x="27"/>
        <item m="1" x="28"/>
        <item m="1" x="29"/>
        <item m="1" x="30"/>
        <item m="1" x="31"/>
        <item m="1" x="32"/>
        <item m="1" x="33"/>
        <item m="1" x="34"/>
        <item m="1" x="35"/>
        <item m="1" x="36"/>
        <item m="1" x="37"/>
        <item m="1" x="38"/>
        <item m="1" x="39"/>
        <item m="1" x="40"/>
        <item m="1" x="41"/>
        <item m="1" x="42"/>
        <item m="1" x="43"/>
        <item m="1" x="44"/>
        <item m="1" x="45"/>
        <item m="1" x="46"/>
        <item m="1" x="47"/>
        <item m="1" x="48"/>
        <item m="1" x="49"/>
        <item m="1" x="50"/>
        <item m="1" x="51"/>
        <item m="1" x="52"/>
        <item m="1" x="53"/>
        <item m="1" x="54"/>
        <item m="1" x="55"/>
        <item m="1" x="56"/>
        <item m="1" x="57"/>
        <item m="1" x="58"/>
        <item m="1" x="59"/>
        <item m="1" x="60"/>
        <item m="1" x="61"/>
        <item m="1" x="62"/>
        <item m="1" x="63"/>
        <item m="1" x="64"/>
        <item m="1" x="65"/>
        <item m="1" x="66"/>
        <item m="1" x="67"/>
        <item m="1" x="68"/>
        <item m="1" x="69"/>
        <item m="1" x="70"/>
        <item m="1" x="71"/>
        <item m="1" x="72"/>
        <item m="1" x="73"/>
        <item m="1" x="74"/>
        <item m="1" x="75"/>
        <item x="23"/>
        <item t="default"/>
      </items>
    </pivotField>
    <pivotField compact="0" outline="0" subtotalTop="0" showAll="0"/>
    <pivotField axis="axisRow" compact="0" outline="0" subtotalTop="0" showAll="0" sortType="ascending" defaultSubtotal="0">
      <items count="20">
        <item x="6"/>
        <item m="1" x="7"/>
        <item m="1" x="8"/>
        <item m="1" x="9"/>
        <item m="1" x="10"/>
        <item m="1" x="11"/>
        <item x="3"/>
        <item m="1" x="12"/>
        <item x="4"/>
        <item x="5"/>
        <item m="1" x="13"/>
        <item m="1" x="14"/>
        <item m="1" x="15"/>
        <item m="1" x="16"/>
        <item m="1" x="17"/>
        <item x="0"/>
        <item x="1"/>
        <item x="2"/>
        <item m="1" x="18"/>
        <item h="1" m="1" x="19"/>
      </items>
    </pivotField>
    <pivotField compact="0" outline="0" subtotalTop="0" showAll="0"/>
    <pivotField axis="axisRow" compact="0" outline="0" subtotalTop="0" showAll="0" defaultSubtotal="0">
      <items count="39">
        <item m="1" x="28"/>
        <item m="1" x="35"/>
        <item x="3"/>
        <item x="4"/>
        <item x="5"/>
        <item m="1" x="12"/>
        <item m="1" x="24"/>
        <item m="1" x="29"/>
        <item m="1" x="31"/>
        <item x="1"/>
        <item m="1" x="32"/>
        <item m="1" x="33"/>
        <item m="1" x="34"/>
        <item x="7"/>
        <item x="2"/>
        <item m="1" x="37"/>
        <item m="1" x="20"/>
        <item m="1" x="21"/>
        <item m="1" x="30"/>
        <item x="9"/>
        <item x="8"/>
        <item m="1" x="15"/>
        <item m="1" x="16"/>
        <item m="1" x="26"/>
        <item m="1" x="27"/>
        <item m="1" x="36"/>
        <item x="6"/>
        <item m="1" x="13"/>
        <item m="1" x="25"/>
        <item x="0"/>
        <item m="1" x="14"/>
        <item m="1" x="23"/>
        <item x="10"/>
        <item m="1" x="19"/>
        <item m="1" x="18"/>
        <item m="1" x="38"/>
        <item m="1" x="22"/>
        <item m="1" x="17"/>
        <item x="11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sortType="descending" numFmtId="169" defaultSubtotal="0">
      <items count="59">
        <item m="1" x="58"/>
        <item m="1" x="57"/>
        <item m="1" x="56"/>
        <item m="1" x="55"/>
        <item x="2"/>
        <item m="1" x="54"/>
        <item m="1" x="53"/>
        <item x="6"/>
        <item m="1" x="52"/>
        <item x="3"/>
        <item m="1" x="51"/>
        <item x="16"/>
        <item m="1" x="50"/>
        <item x="8"/>
        <item m="1" x="49"/>
        <item x="5"/>
        <item x="10"/>
        <item m="1" x="48"/>
        <item x="7"/>
        <item x="0"/>
        <item x="9"/>
        <item x="1"/>
        <item m="1" x="47"/>
        <item x="4"/>
        <item m="1" x="46"/>
        <item x="12"/>
        <item m="1" x="45"/>
        <item x="15"/>
        <item x="11"/>
        <item x="17"/>
        <item m="1" x="44"/>
        <item m="1" x="43"/>
        <item m="1" x="42"/>
        <item m="1" x="41"/>
        <item m="1" x="40"/>
        <item m="1" x="39"/>
        <item m="1" x="38"/>
        <item m="1" x="37"/>
        <item m="1" x="36"/>
        <item m="1" x="35"/>
        <item m="1" x="34"/>
        <item x="14"/>
        <item m="1" x="33"/>
        <item m="1" x="32"/>
        <item m="1" x="31"/>
        <item m="1" x="30"/>
        <item m="1" x="29"/>
        <item m="1" x="28"/>
        <item m="1" x="27"/>
        <item m="1" x="26"/>
        <item m="1" x="25"/>
        <item x="18"/>
        <item m="1" x="24"/>
        <item m="1" x="23"/>
        <item m="1" x="22"/>
        <item m="1" x="21"/>
        <item m="1" x="20"/>
        <item m="1" x="19"/>
        <item h="1" x="13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69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69"/>
    <pivotField compact="0" outline="0" subtotalTop="0" showAll="0"/>
    <pivotField compact="0" outline="0" subtotalTop="0" showAll="0" numFmtId="169"/>
  </pivotFields>
  <rowFields count="4">
    <field x="2"/>
    <field x="20"/>
    <field x="4"/>
    <field x="0"/>
  </rowFields>
  <rowItems count="22">
    <i>
      <x v="6"/>
      <x v="25"/>
      <x v="26"/>
      <x v="12"/>
    </i>
    <i r="1">
      <x v="28"/>
      <x v="26"/>
      <x v="11"/>
    </i>
    <i r="3">
      <x v="13"/>
    </i>
    <i>
      <x v="8"/>
      <x v="11"/>
      <x v="20"/>
      <x v="20"/>
    </i>
    <i r="1">
      <x v="15"/>
      <x v="14"/>
      <x v="15"/>
    </i>
    <i r="1">
      <x v="16"/>
      <x v="3"/>
      <x v="17"/>
    </i>
    <i r="1">
      <x v="23"/>
      <x v="4"/>
      <x v="19"/>
    </i>
    <i r="1">
      <x v="27"/>
      <x v="4"/>
      <x v="18"/>
    </i>
    <i r="1">
      <x v="29"/>
      <x v="19"/>
      <x v="21"/>
    </i>
    <i r="1">
      <x v="41"/>
      <x v="3"/>
      <x v="16"/>
    </i>
    <i>
      <x v="9"/>
      <x v="51"/>
      <x v="32"/>
      <x v="22"/>
    </i>
    <i>
      <x v="15"/>
      <x v="19"/>
      <x v="29"/>
      <x/>
    </i>
    <i>
      <x v="16"/>
      <x v="21"/>
      <x v="9"/>
      <x v="1"/>
    </i>
    <i>
      <x v="17"/>
      <x v="4"/>
      <x v="14"/>
      <x v="2"/>
    </i>
    <i r="1">
      <x v="7"/>
      <x v="3"/>
      <x v="6"/>
    </i>
    <i r="1">
      <x v="9"/>
      <x v="2"/>
      <x v="3"/>
    </i>
    <i r="1">
      <x v="13"/>
      <x v="4"/>
      <x v="8"/>
    </i>
    <i r="1">
      <x v="15"/>
      <x v="3"/>
      <x v="5"/>
    </i>
    <i r="1">
      <x v="16"/>
      <x v="4"/>
      <x v="10"/>
    </i>
    <i r="1">
      <x v="18"/>
      <x v="4"/>
      <x v="7"/>
    </i>
    <i r="1">
      <x v="20"/>
      <x v="4"/>
      <x v="9"/>
    </i>
    <i r="1">
      <x v="23"/>
      <x v="2"/>
      <x v="4"/>
    </i>
  </rowItems>
  <colItems count="1">
    <i/>
  </colItems>
  <dataFields count="1">
    <dataField name="Somme - N?" fld="0" baseField="0" baseItem="0"/>
  </dataFields>
  <formats count="7">
    <format dxfId="6">
      <pivotArea outline="0" fieldPosition="0" dataOnly="0" type="all"/>
    </format>
    <format dxfId="7">
      <pivotArea outline="0" fieldPosition="0" dataOnly="0" type="all"/>
    </format>
    <format dxfId="2">
      <pivotArea outline="0" fieldPosition="0" axis="axisRow" dataOnly="0" field="2" labelOnly="1" type="button"/>
    </format>
    <format dxfId="2">
      <pivotArea outline="0" fieldPosition="2" axis="axisRow" dataOnly="0" field="4" labelOnly="1" type="button"/>
    </format>
    <format dxfId="2">
      <pivotArea outline="0" fieldPosition="3" axis="axisRow" dataOnly="0" field="0" labelOnly="1" type="button"/>
    </format>
    <format dxfId="5">
      <pivotArea outline="0" fieldPosition="0" dataOnly="0" labelOnly="1" offset="B1:D1" type="origin"/>
    </format>
    <format dxfId="5">
      <pivotArea outline="0" fieldPosition="0" dataOnly="0" labelOnly="1" type="topRight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eau croisé dynamique1" cacheId="50" applyNumberFormats="0" applyBorderFormats="0" applyFontFormats="0" applyPatternFormats="0" applyAlignmentFormats="0" applyWidthHeightFormats="0" dataCaption="Donn?es" showMissing="1" preserveFormatting="1" useAutoFormatting="1" rowGrandTotals="0" colGrandTotals="0" itemPrintTitles="1" compactData="0" updatedVersion="2" indent="0" showMemberPropertyTips="1">
  <location ref="S2:W25" firstHeaderRow="2" firstDataRow="2" firstDataCol="4"/>
  <pivotFields count="32">
    <pivotField axis="axisRow" dataField="1" compact="0" outline="0" subtotalTop="0" showAll="0">
      <items count="7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m="1" x="24"/>
        <item m="1" x="25"/>
        <item m="1" x="26"/>
        <item m="1" x="27"/>
        <item m="1" x="28"/>
        <item m="1" x="29"/>
        <item m="1" x="30"/>
        <item m="1" x="31"/>
        <item m="1" x="32"/>
        <item m="1" x="33"/>
        <item m="1" x="34"/>
        <item m="1" x="35"/>
        <item m="1" x="36"/>
        <item m="1" x="37"/>
        <item m="1" x="38"/>
        <item m="1" x="39"/>
        <item m="1" x="40"/>
        <item m="1" x="41"/>
        <item m="1" x="42"/>
        <item m="1" x="43"/>
        <item m="1" x="44"/>
        <item m="1" x="45"/>
        <item m="1" x="46"/>
        <item m="1" x="47"/>
        <item m="1" x="48"/>
        <item m="1" x="49"/>
        <item m="1" x="50"/>
        <item m="1" x="51"/>
        <item m="1" x="52"/>
        <item m="1" x="53"/>
        <item m="1" x="54"/>
        <item m="1" x="55"/>
        <item m="1" x="56"/>
        <item m="1" x="57"/>
        <item m="1" x="58"/>
        <item m="1" x="59"/>
        <item m="1" x="60"/>
        <item m="1" x="61"/>
        <item m="1" x="62"/>
        <item m="1" x="63"/>
        <item m="1" x="64"/>
        <item m="1" x="65"/>
        <item m="1" x="66"/>
        <item m="1" x="67"/>
        <item m="1" x="68"/>
        <item m="1" x="69"/>
        <item m="1" x="70"/>
        <item m="1" x="71"/>
        <item m="1" x="72"/>
        <item m="1" x="73"/>
        <item m="1" x="74"/>
        <item m="1" x="75"/>
        <item x="23"/>
        <item t="default"/>
      </items>
    </pivotField>
    <pivotField compact="0" outline="0" subtotalTop="0" showAll="0"/>
    <pivotField axis="axisRow" compact="0" outline="0" subtotalTop="0" showAll="0" sortType="ascending" defaultSubtotal="0">
      <items count="20">
        <item x="6"/>
        <item m="1" x="7"/>
        <item m="1" x="8"/>
        <item m="1" x="9"/>
        <item m="1" x="10"/>
        <item m="1" x="11"/>
        <item x="3"/>
        <item m="1" x="12"/>
        <item x="4"/>
        <item x="5"/>
        <item m="1" x="13"/>
        <item m="1" x="14"/>
        <item m="1" x="15"/>
        <item m="1" x="16"/>
        <item m="1" x="17"/>
        <item x="0"/>
        <item x="1"/>
        <item x="2"/>
        <item m="1" x="18"/>
        <item h="1" m="1" x="19"/>
      </items>
    </pivotField>
    <pivotField compact="0" outline="0" subtotalTop="0" showAll="0"/>
    <pivotField axis="axisRow" compact="0" outline="0" subtotalTop="0" showAll="0" defaultSubtotal="0">
      <items count="39">
        <item m="1" x="28"/>
        <item m="1" x="35"/>
        <item x="3"/>
        <item x="4"/>
        <item x="5"/>
        <item m="1" x="12"/>
        <item m="1" x="24"/>
        <item m="1" x="29"/>
        <item m="1" x="31"/>
        <item x="1"/>
        <item m="1" x="32"/>
        <item m="1" x="33"/>
        <item m="1" x="34"/>
        <item x="7"/>
        <item x="2"/>
        <item m="1" x="37"/>
        <item m="1" x="20"/>
        <item m="1" x="21"/>
        <item m="1" x="30"/>
        <item x="9"/>
        <item x="8"/>
        <item m="1" x="15"/>
        <item m="1" x="16"/>
        <item m="1" x="26"/>
        <item m="1" x="27"/>
        <item m="1" x="36"/>
        <item x="6"/>
        <item m="1" x="13"/>
        <item m="1" x="25"/>
        <item x="0"/>
        <item m="1" x="14"/>
        <item m="1" x="23"/>
        <item x="10"/>
        <item m="1" x="19"/>
        <item m="1" x="18"/>
        <item m="1" x="38"/>
        <item m="1" x="22"/>
        <item m="1" x="17"/>
        <item x="11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69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69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sortType="descending" numFmtId="169" defaultSubtotal="0">
      <items count="28">
        <item m="1" x="27"/>
        <item m="1" x="26"/>
        <item x="12"/>
        <item x="5"/>
        <item x="2"/>
        <item m="1" x="25"/>
        <item x="3"/>
        <item m="1" x="24"/>
        <item x="9"/>
        <item m="1" x="23"/>
        <item x="11"/>
        <item m="1" x="22"/>
        <item x="10"/>
        <item m="1" x="21"/>
        <item x="6"/>
        <item m="1" x="20"/>
        <item x="7"/>
        <item m="1" x="19"/>
        <item x="0"/>
        <item m="1" x="18"/>
        <item x="4"/>
        <item m="1" x="17"/>
        <item m="1" x="16"/>
        <item x="13"/>
        <item x="1"/>
        <item m="1" x="15"/>
        <item m="1" x="14"/>
        <item h="1" x="8"/>
      </items>
    </pivotField>
    <pivotField compact="0" outline="0" subtotalTop="0" showAll="0"/>
    <pivotField compact="0" outline="0" subtotalTop="0" showAll="0" numFmtId="169"/>
  </pivotFields>
  <rowFields count="4">
    <field x="2"/>
    <field x="29"/>
    <field x="4"/>
    <field x="0"/>
  </rowFields>
  <rowItems count="22">
    <i>
      <x v="6"/>
      <x v="14"/>
      <x v="26"/>
      <x v="12"/>
    </i>
    <i r="1">
      <x v="16"/>
      <x v="26"/>
      <x v="13"/>
    </i>
    <i r="1">
      <x v="18"/>
      <x v="26"/>
      <x v="11"/>
    </i>
    <i>
      <x v="8"/>
      <x v="2"/>
      <x v="4"/>
      <x v="19"/>
    </i>
    <i r="1">
      <x v="8"/>
      <x v="14"/>
      <x v="15"/>
    </i>
    <i r="2">
      <x v="20"/>
      <x v="20"/>
    </i>
    <i r="1">
      <x v="10"/>
      <x v="4"/>
      <x v="18"/>
    </i>
    <i r="1">
      <x v="12"/>
      <x v="3"/>
      <x v="16"/>
    </i>
    <i r="1">
      <x v="16"/>
      <x v="19"/>
      <x v="21"/>
    </i>
    <i r="1">
      <x v="20"/>
      <x v="3"/>
      <x v="17"/>
    </i>
    <i>
      <x v="9"/>
      <x v="23"/>
      <x v="32"/>
      <x v="22"/>
    </i>
    <i>
      <x v="15"/>
      <x v="18"/>
      <x v="29"/>
      <x/>
    </i>
    <i>
      <x v="16"/>
      <x v="24"/>
      <x v="9"/>
      <x v="1"/>
    </i>
    <i>
      <x v="17"/>
      <x v="3"/>
      <x v="3"/>
      <x v="6"/>
    </i>
    <i r="1">
      <x v="4"/>
      <x v="3"/>
      <x v="5"/>
    </i>
    <i r="2">
      <x v="14"/>
      <x v="2"/>
    </i>
    <i r="1">
      <x v="6"/>
      <x v="2"/>
      <x v="3"/>
    </i>
    <i r="2">
      <x v="4"/>
      <x v="7"/>
    </i>
    <i r="3">
      <x v="8"/>
    </i>
    <i r="1">
      <x v="14"/>
      <x v="4"/>
      <x v="9"/>
    </i>
    <i r="3">
      <x v="10"/>
    </i>
    <i r="1">
      <x v="20"/>
      <x v="2"/>
      <x v="4"/>
    </i>
  </rowItems>
  <colItems count="1">
    <i/>
  </colItems>
  <dataFields count="1">
    <dataField name="Somme - N?" fld="0" baseField="0" baseItem="0"/>
  </dataFields>
  <formats count="9">
    <format dxfId="9">
      <pivotArea outline="0" fieldPosition="0">
        <references count="1">
          <reference field="2" count="1">
            <x v="10"/>
          </reference>
        </references>
      </pivotArea>
    </format>
    <format dxfId="9">
      <pivotArea outline="0" fieldPosition="0" dataOnly="0" labelOnly="1" offset="IV256">
        <references count="1">
          <reference field="2" count="1">
            <x v="10"/>
          </reference>
        </references>
      </pivotArea>
    </format>
    <format dxfId="6">
      <pivotArea outline="0" fieldPosition="0" dataOnly="0" type="all"/>
    </format>
    <format dxfId="7">
      <pivotArea outline="0" fieldPosition="0" dataOnly="0" type="all"/>
    </format>
    <format dxfId="2">
      <pivotArea outline="0" fieldPosition="0" axis="axisRow" dataOnly="0" field="2" labelOnly="1" type="button"/>
    </format>
    <format dxfId="2">
      <pivotArea outline="0" fieldPosition="2" axis="axisRow" dataOnly="0" field="4" labelOnly="1" type="button"/>
    </format>
    <format dxfId="2">
      <pivotArea outline="0" fieldPosition="3" axis="axisRow" dataOnly="0" field="0" labelOnly="1" type="button"/>
    </format>
    <format dxfId="5">
      <pivotArea outline="0" fieldPosition="0" dataOnly="0" labelOnly="1" offset="B1:D1" type="origin"/>
    </format>
    <format dxfId="5">
      <pivotArea outline="0" fieldPosition="0" dataOnly="0" labelOnly="1" type="topRight"/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leau croisé dynamique3" cacheId="49" applyNumberFormats="0" applyBorderFormats="0" applyFontFormats="0" applyPatternFormats="0" applyAlignmentFormats="0" applyWidthHeightFormats="0" dataCaption="Donn?es" showMissing="1" preserveFormatting="1" useAutoFormatting="1" rowGrandTotals="0" colGrandTotals="0" itemPrintTitles="1" compactData="0" updatedVersion="2" indent="0" showMemberPropertyTips="1">
  <location ref="J2:N25" firstHeaderRow="2" firstDataRow="2" firstDataCol="4"/>
  <pivotFields count="32">
    <pivotField axis="axisRow" dataField="1" compact="0" outline="0" subtotalTop="0" showAll="0">
      <items count="7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m="1" x="24"/>
        <item m="1" x="25"/>
        <item m="1" x="26"/>
        <item m="1" x="27"/>
        <item m="1" x="28"/>
        <item m="1" x="29"/>
        <item m="1" x="30"/>
        <item m="1" x="31"/>
        <item m="1" x="32"/>
        <item m="1" x="33"/>
        <item m="1" x="34"/>
        <item m="1" x="35"/>
        <item m="1" x="36"/>
        <item m="1" x="37"/>
        <item m="1" x="38"/>
        <item m="1" x="39"/>
        <item m="1" x="40"/>
        <item m="1" x="41"/>
        <item m="1" x="42"/>
        <item m="1" x="43"/>
        <item m="1" x="44"/>
        <item m="1" x="45"/>
        <item m="1" x="46"/>
        <item m="1" x="47"/>
        <item m="1" x="48"/>
        <item m="1" x="49"/>
        <item m="1" x="50"/>
        <item m="1" x="51"/>
        <item m="1" x="52"/>
        <item m="1" x="53"/>
        <item m="1" x="54"/>
        <item m="1" x="55"/>
        <item m="1" x="56"/>
        <item m="1" x="57"/>
        <item m="1" x="58"/>
        <item m="1" x="59"/>
        <item m="1" x="60"/>
        <item m="1" x="61"/>
        <item m="1" x="62"/>
        <item m="1" x="63"/>
        <item m="1" x="64"/>
        <item m="1" x="65"/>
        <item m="1" x="66"/>
        <item m="1" x="67"/>
        <item m="1" x="68"/>
        <item m="1" x="69"/>
        <item m="1" x="70"/>
        <item m="1" x="71"/>
        <item m="1" x="72"/>
        <item m="1" x="73"/>
        <item m="1" x="74"/>
        <item m="1" x="75"/>
        <item x="23"/>
        <item t="default"/>
      </items>
    </pivotField>
    <pivotField compact="0" outline="0" subtotalTop="0" showAll="0"/>
    <pivotField axis="axisRow" compact="0" outline="0" subtotalTop="0" showAll="0" sortType="ascending" defaultSubtotal="0">
      <items count="20">
        <item x="6"/>
        <item m="1" x="7"/>
        <item m="1" x="8"/>
        <item m="1" x="9"/>
        <item m="1" x="10"/>
        <item m="1" x="11"/>
        <item x="3"/>
        <item m="1" x="12"/>
        <item x="4"/>
        <item x="5"/>
        <item m="1" x="13"/>
        <item m="1" x="14"/>
        <item m="1" x="15"/>
        <item m="1" x="16"/>
        <item m="1" x="17"/>
        <item x="0"/>
        <item x="1"/>
        <item x="2"/>
        <item m="1" x="18"/>
        <item h="1" m="1" x="19"/>
      </items>
    </pivotField>
    <pivotField compact="0" outline="0" subtotalTop="0" showAll="0"/>
    <pivotField axis="axisRow" compact="0" outline="0" subtotalTop="0" showAll="0" defaultSubtotal="0">
      <items count="39">
        <item m="1" x="28"/>
        <item m="1" x="35"/>
        <item x="3"/>
        <item x="4"/>
        <item x="5"/>
        <item m="1" x="12"/>
        <item m="1" x="24"/>
        <item m="1" x="29"/>
        <item m="1" x="31"/>
        <item x="1"/>
        <item m="1" x="32"/>
        <item m="1" x="33"/>
        <item m="1" x="34"/>
        <item x="7"/>
        <item x="2"/>
        <item m="1" x="37"/>
        <item m="1" x="20"/>
        <item m="1" x="21"/>
        <item m="1" x="30"/>
        <item x="9"/>
        <item x="8"/>
        <item m="1" x="15"/>
        <item m="1" x="16"/>
        <item m="1" x="26"/>
        <item m="1" x="27"/>
        <item m="1" x="36"/>
        <item x="6"/>
        <item m="1" x="13"/>
        <item m="1" x="25"/>
        <item x="0"/>
        <item m="1" x="14"/>
        <item m="1" x="23"/>
        <item x="10"/>
        <item m="1" x="19"/>
        <item m="1" x="18"/>
        <item m="1" x="38"/>
        <item m="1" x="22"/>
        <item m="1" x="17"/>
        <item x="11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/>
    <pivotField compact="0" outline="0" subtotalTop="0" showAll="0" numFmtId="169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sortType="descending" numFmtId="169" defaultSubtotal="0">
      <items count="46">
        <item m="1" x="45"/>
        <item m="1" x="44"/>
        <item m="1" x="43"/>
        <item m="1" x="42"/>
        <item m="1" x="41"/>
        <item m="1" x="40"/>
        <item x="2"/>
        <item m="1" x="39"/>
        <item m="1" x="38"/>
        <item m="1" x="37"/>
        <item m="1" x="36"/>
        <item m="1" x="35"/>
        <item x="8"/>
        <item m="1" x="34"/>
        <item m="1" x="33"/>
        <item m="1" x="32"/>
        <item x="6"/>
        <item x="10"/>
        <item x="1"/>
        <item x="4"/>
        <item x="11"/>
        <item x="7"/>
        <item m="1" x="31"/>
        <item x="3"/>
        <item m="1" x="30"/>
        <item x="0"/>
        <item x="5"/>
        <item m="1" x="29"/>
        <item x="12"/>
        <item m="1" x="28"/>
        <item m="1" x="27"/>
        <item m="1" x="26"/>
        <item m="1" x="25"/>
        <item m="1" x="24"/>
        <item m="1" x="23"/>
        <item m="1" x="22"/>
        <item m="1" x="21"/>
        <item m="1" x="20"/>
        <item m="1" x="19"/>
        <item m="1" x="18"/>
        <item m="1" x="17"/>
        <item m="1" x="16"/>
        <item m="1" x="15"/>
        <item m="1" x="14"/>
        <item m="1" x="13"/>
        <item h="1" x="9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69"/>
    <pivotField compact="0" outline="0" subtotalTop="0" showAll="0"/>
    <pivotField compact="0" outline="0" subtotalTop="0" showAll="0" numFmtId="169"/>
  </pivotFields>
  <rowFields count="4">
    <field x="2"/>
    <field x="25"/>
    <field x="4"/>
    <field x="0"/>
  </rowFields>
  <rowItems count="22">
    <i>
      <x v="6"/>
      <x v="12"/>
      <x v="26"/>
      <x v="12"/>
    </i>
    <i r="1">
      <x v="21"/>
      <x v="26"/>
      <x v="13"/>
    </i>
    <i r="1">
      <x v="25"/>
      <x v="26"/>
      <x v="11"/>
    </i>
    <i>
      <x v="8"/>
      <x v="6"/>
      <x v="4"/>
      <x v="18"/>
    </i>
    <i r="1">
      <x v="12"/>
      <x v="4"/>
      <x v="19"/>
    </i>
    <i r="2">
      <x v="20"/>
      <x v="20"/>
    </i>
    <i r="1">
      <x v="17"/>
      <x v="3"/>
      <x v="16"/>
    </i>
    <i r="1">
      <x v="20"/>
      <x v="3"/>
      <x v="17"/>
    </i>
    <i r="1">
      <x v="21"/>
      <x v="19"/>
      <x v="21"/>
    </i>
    <i r="1">
      <x v="25"/>
      <x v="14"/>
      <x v="15"/>
    </i>
    <i>
      <x v="9"/>
      <x v="28"/>
      <x v="32"/>
      <x v="22"/>
    </i>
    <i>
      <x v="15"/>
      <x v="25"/>
      <x v="29"/>
      <x/>
    </i>
    <i>
      <x v="16"/>
      <x v="18"/>
      <x v="9"/>
      <x v="1"/>
    </i>
    <i>
      <x v="17"/>
      <x v="6"/>
      <x v="4"/>
      <x v="10"/>
    </i>
    <i r="2">
      <x v="14"/>
      <x v="2"/>
    </i>
    <i r="1">
      <x v="16"/>
      <x v="4"/>
      <x v="8"/>
    </i>
    <i r="1">
      <x v="18"/>
      <x v="2"/>
      <x v="4"/>
    </i>
    <i r="1">
      <x v="19"/>
      <x v="3"/>
      <x v="5"/>
    </i>
    <i r="1">
      <x v="21"/>
      <x v="4"/>
      <x v="9"/>
    </i>
    <i r="1">
      <x v="23"/>
      <x v="2"/>
      <x v="3"/>
    </i>
    <i r="1">
      <x v="25"/>
      <x v="3"/>
      <x v="6"/>
    </i>
    <i r="1">
      <x v="26"/>
      <x v="4"/>
      <x v="7"/>
    </i>
  </rowItems>
  <colItems count="1">
    <i/>
  </colItems>
  <dataFields count="1">
    <dataField name="Somme - N?" fld="0" baseField="0" baseItem="0"/>
  </dataFields>
  <formats count="9">
    <format dxfId="9">
      <pivotArea outline="0" fieldPosition="0">
        <references count="1">
          <reference field="2" count="1">
            <x v="10"/>
          </reference>
        </references>
      </pivotArea>
    </format>
    <format dxfId="9">
      <pivotArea outline="0" fieldPosition="0" dataOnly="0" labelOnly="1" offset="IV256">
        <references count="1">
          <reference field="2" count="1">
            <x v="10"/>
          </reference>
        </references>
      </pivotArea>
    </format>
    <format dxfId="6">
      <pivotArea outline="0" fieldPosition="0" dataOnly="0" type="all"/>
    </format>
    <format dxfId="7">
      <pivotArea outline="0" fieldPosition="0" dataOnly="0" type="all"/>
    </format>
    <format dxfId="2">
      <pivotArea outline="0" fieldPosition="0" axis="axisRow" dataOnly="0" field="2" labelOnly="1" type="button"/>
    </format>
    <format dxfId="2">
      <pivotArea outline="0" fieldPosition="2" axis="axisRow" dataOnly="0" field="4" labelOnly="1" type="button"/>
    </format>
    <format dxfId="2">
      <pivotArea outline="0" fieldPosition="3" axis="axisRow" dataOnly="0" field="0" labelOnly="1" type="button"/>
    </format>
    <format dxfId="5">
      <pivotArea outline="0" fieldPosition="0" dataOnly="0" labelOnly="1" offset="B1:D1" type="origin"/>
    </format>
    <format dxfId="5">
      <pivotArea outline="0" fieldPosition="0" dataOnly="0" labelOnly="1" type="topRight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2.xml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6"/>
  <sheetViews>
    <sheetView zoomScale="70" zoomScaleNormal="70" zoomScalePageLayoutView="0" workbookViewId="0" topLeftCell="A1">
      <pane xSplit="5" ySplit="3" topLeftCell="F4" activePane="bottomRight" state="frozen"/>
      <selection pane="topLeft" activeCell="A31" sqref="A31:IV31"/>
      <selection pane="topRight" activeCell="A31" sqref="A31:IV31"/>
      <selection pane="bottomLeft" activeCell="A31" sqref="A31:IV31"/>
      <selection pane="bottomRight" activeCell="K1" sqref="K1:P1"/>
    </sheetView>
  </sheetViews>
  <sheetFormatPr defaultColWidth="10.00390625" defaultRowHeight="15"/>
  <cols>
    <col min="1" max="1" width="4.00390625" style="37" customWidth="1"/>
    <col min="2" max="2" width="24.00390625" style="30" bestFit="1" customWidth="1"/>
    <col min="3" max="3" width="5.125" style="27" customWidth="1"/>
    <col min="4" max="4" width="4.25390625" style="27" customWidth="1"/>
    <col min="5" max="5" width="4.50390625" style="27" hidden="1" customWidth="1"/>
    <col min="6" max="6" width="23.00390625" style="96" hidden="1" customWidth="1"/>
    <col min="7" max="7" width="23.75390625" style="97" hidden="1" customWidth="1"/>
    <col min="8" max="8" width="22.75390625" style="97" hidden="1" customWidth="1"/>
    <col min="9" max="9" width="26.375" style="97" hidden="1" customWidth="1"/>
    <col min="10" max="10" width="23.875" style="97" hidden="1" customWidth="1"/>
    <col min="11" max="14" width="4.125" style="30" customWidth="1"/>
    <col min="15" max="16" width="4.50390625" style="30" customWidth="1"/>
    <col min="17" max="17" width="4.125" style="30" customWidth="1"/>
    <col min="18" max="18" width="3.875" style="30" customWidth="1"/>
    <col min="19" max="19" width="4.75390625" style="30" bestFit="1" customWidth="1"/>
    <col min="20" max="20" width="3.875" style="37" hidden="1" customWidth="1"/>
    <col min="21" max="21" width="5.125" style="30" bestFit="1" customWidth="1"/>
    <col min="22" max="25" width="3.875" style="30" customWidth="1"/>
    <col min="26" max="26" width="5.125" style="30" bestFit="1" customWidth="1"/>
    <col min="27" max="27" width="3.875" style="30" customWidth="1"/>
    <col min="28" max="29" width="4.75390625" style="30" customWidth="1"/>
    <col min="30" max="30" width="5.125" style="30" bestFit="1" customWidth="1"/>
    <col min="31" max="31" width="3.875" style="37" hidden="1" customWidth="1"/>
    <col min="32" max="32" width="5.625" style="30" bestFit="1" customWidth="1"/>
    <col min="33" max="33" width="4.50390625" style="96" customWidth="1"/>
    <col min="34" max="34" width="28.875" style="97" customWidth="1"/>
    <col min="35" max="35" width="25.875" style="97" bestFit="1" customWidth="1"/>
    <col min="36" max="36" width="10.00390625" style="30" hidden="1" customWidth="1"/>
    <col min="37" max="37" width="10.00390625" style="31" hidden="1" customWidth="1"/>
    <col min="38" max="38" width="10.00390625" style="173" customWidth="1"/>
    <col min="39" max="39" width="10.00390625" style="30" customWidth="1"/>
    <col min="40" max="40" width="13.75390625" style="30" bestFit="1" customWidth="1"/>
    <col min="41" max="41" width="10.625" style="30" bestFit="1" customWidth="1"/>
    <col min="42" max="42" width="13.75390625" style="30" bestFit="1" customWidth="1"/>
    <col min="43" max="43" width="13.125" style="30" bestFit="1" customWidth="1"/>
    <col min="44" max="16384" width="10.00390625" style="30" customWidth="1"/>
  </cols>
  <sheetData>
    <row r="1" spans="1:38" s="25" customFormat="1" ht="18" customHeight="1" thickBot="1" thickTop="1">
      <c r="A1" s="21"/>
      <c r="B1" s="22" t="s">
        <v>82</v>
      </c>
      <c r="C1" s="189" t="s">
        <v>227</v>
      </c>
      <c r="D1" s="189"/>
      <c r="E1" s="189"/>
      <c r="F1" s="23"/>
      <c r="G1" s="23"/>
      <c r="H1" s="23"/>
      <c r="I1" s="23"/>
      <c r="J1" s="24"/>
      <c r="K1" s="259" t="s">
        <v>0</v>
      </c>
      <c r="L1" s="259"/>
      <c r="M1" s="259"/>
      <c r="N1" s="259"/>
      <c r="O1" s="259"/>
      <c r="P1" s="259"/>
      <c r="Q1" s="189" t="s">
        <v>81</v>
      </c>
      <c r="R1" s="189"/>
      <c r="S1" s="189"/>
      <c r="T1" s="189"/>
      <c r="U1" s="189"/>
      <c r="V1" s="189"/>
      <c r="W1" s="189"/>
      <c r="X1" s="189"/>
      <c r="Y1" s="189"/>
      <c r="Z1" s="189"/>
      <c r="AA1" s="190">
        <v>41783</v>
      </c>
      <c r="AB1" s="190"/>
      <c r="AC1" s="190"/>
      <c r="AD1" s="190"/>
      <c r="AE1" s="190"/>
      <c r="AF1" s="191"/>
      <c r="AG1" s="181"/>
      <c r="AH1" s="182"/>
      <c r="AI1" s="182"/>
      <c r="AK1" s="26"/>
      <c r="AL1" s="170"/>
    </row>
    <row r="2" spans="1:38" s="27" customFormat="1" ht="17.25" thickTop="1">
      <c r="A2" s="183" t="s">
        <v>55</v>
      </c>
      <c r="B2" s="184"/>
      <c r="C2" s="184"/>
      <c r="D2" s="184"/>
      <c r="E2" s="185"/>
      <c r="F2" s="186" t="s">
        <v>56</v>
      </c>
      <c r="G2" s="187"/>
      <c r="H2" s="187"/>
      <c r="I2" s="187"/>
      <c r="J2" s="188"/>
      <c r="K2" s="192" t="s">
        <v>57</v>
      </c>
      <c r="L2" s="193"/>
      <c r="M2" s="193"/>
      <c r="N2" s="193"/>
      <c r="O2" s="193"/>
      <c r="P2" s="193"/>
      <c r="Q2" s="193"/>
      <c r="R2" s="193"/>
      <c r="S2" s="193"/>
      <c r="T2" s="193"/>
      <c r="U2" s="194"/>
      <c r="V2" s="195" t="s">
        <v>58</v>
      </c>
      <c r="W2" s="193"/>
      <c r="X2" s="193"/>
      <c r="Y2" s="193"/>
      <c r="Z2" s="194"/>
      <c r="AA2" s="195" t="s">
        <v>59</v>
      </c>
      <c r="AB2" s="193"/>
      <c r="AC2" s="193"/>
      <c r="AD2" s="194"/>
      <c r="AE2" s="198"/>
      <c r="AF2" s="185"/>
      <c r="AG2" s="196" t="s">
        <v>60</v>
      </c>
      <c r="AH2" s="197"/>
      <c r="AI2" s="197"/>
      <c r="AK2" s="28"/>
      <c r="AL2" s="171"/>
    </row>
    <row r="3" spans="1:38" s="29" customFormat="1" ht="234.75" customHeight="1" thickBot="1">
      <c r="A3" s="1" t="s">
        <v>25</v>
      </c>
      <c r="B3" s="2" t="s">
        <v>11</v>
      </c>
      <c r="C3" s="3" t="s">
        <v>26</v>
      </c>
      <c r="D3" s="234" t="s">
        <v>12</v>
      </c>
      <c r="E3" s="4" t="s">
        <v>14</v>
      </c>
      <c r="F3" s="69" t="s">
        <v>27</v>
      </c>
      <c r="G3" s="70" t="s">
        <v>28</v>
      </c>
      <c r="H3" s="70" t="s">
        <v>29</v>
      </c>
      <c r="I3" s="70" t="s">
        <v>30</v>
      </c>
      <c r="J3" s="71" t="s">
        <v>18</v>
      </c>
      <c r="K3" s="5" t="s">
        <v>31</v>
      </c>
      <c r="L3" s="6" t="s">
        <v>32</v>
      </c>
      <c r="M3" s="6" t="s">
        <v>33</v>
      </c>
      <c r="N3" s="6" t="s">
        <v>34</v>
      </c>
      <c r="O3" s="6" t="s">
        <v>35</v>
      </c>
      <c r="P3" s="6" t="s">
        <v>36</v>
      </c>
      <c r="Q3" s="6" t="s">
        <v>37</v>
      </c>
      <c r="R3" s="6" t="s">
        <v>38</v>
      </c>
      <c r="S3" s="2" t="s">
        <v>104</v>
      </c>
      <c r="T3" s="7" t="s">
        <v>54</v>
      </c>
      <c r="U3" s="8" t="s">
        <v>39</v>
      </c>
      <c r="V3" s="5" t="s">
        <v>40</v>
      </c>
      <c r="W3" s="6" t="s">
        <v>41</v>
      </c>
      <c r="X3" s="6" t="s">
        <v>42</v>
      </c>
      <c r="Y3" s="9" t="s">
        <v>43</v>
      </c>
      <c r="Z3" s="8" t="s">
        <v>44</v>
      </c>
      <c r="AA3" s="5" t="s">
        <v>45</v>
      </c>
      <c r="AB3" s="6" t="s">
        <v>46</v>
      </c>
      <c r="AC3" s="9" t="s">
        <v>47</v>
      </c>
      <c r="AD3" s="8" t="s">
        <v>48</v>
      </c>
      <c r="AE3" s="10" t="s">
        <v>49</v>
      </c>
      <c r="AF3" s="11" t="s">
        <v>50</v>
      </c>
      <c r="AG3" s="12" t="s">
        <v>13</v>
      </c>
      <c r="AH3" s="13" t="s">
        <v>15</v>
      </c>
      <c r="AI3" s="150" t="s">
        <v>16</v>
      </c>
      <c r="AJ3" s="149" t="s">
        <v>17</v>
      </c>
      <c r="AK3" s="72" t="s">
        <v>61</v>
      </c>
      <c r="AL3" s="172"/>
    </row>
    <row r="4" spans="1:38" ht="15" customHeight="1">
      <c r="A4" s="73">
        <v>1</v>
      </c>
      <c r="B4" s="74" t="s">
        <v>106</v>
      </c>
      <c r="C4" s="235" t="s">
        <v>90</v>
      </c>
      <c r="D4" s="75" t="s">
        <v>83</v>
      </c>
      <c r="E4" s="236">
        <v>121</v>
      </c>
      <c r="F4" s="76" t="s">
        <v>94</v>
      </c>
      <c r="G4" s="77">
        <v>0</v>
      </c>
      <c r="H4" s="77" t="s">
        <v>95</v>
      </c>
      <c r="I4" s="78">
        <v>0</v>
      </c>
      <c r="J4" s="79" t="s">
        <v>109</v>
      </c>
      <c r="K4" s="237">
        <v>7</v>
      </c>
      <c r="L4" s="238">
        <v>7</v>
      </c>
      <c r="M4" s="238">
        <v>7.5</v>
      </c>
      <c r="N4" s="238">
        <v>7</v>
      </c>
      <c r="O4" s="238">
        <v>7.5</v>
      </c>
      <c r="P4" s="238">
        <v>6</v>
      </c>
      <c r="Q4" s="238">
        <v>7.5</v>
      </c>
      <c r="R4" s="238">
        <v>7.5</v>
      </c>
      <c r="S4" s="239">
        <v>7.5</v>
      </c>
      <c r="T4" s="14"/>
      <c r="U4" s="15">
        <v>7.2</v>
      </c>
      <c r="V4" s="240">
        <v>6</v>
      </c>
      <c r="W4" s="240">
        <v>6.5</v>
      </c>
      <c r="X4" s="240">
        <v>6</v>
      </c>
      <c r="Y4" s="240">
        <v>7</v>
      </c>
      <c r="Z4" s="16">
        <v>6.375</v>
      </c>
      <c r="AA4" s="241">
        <v>7</v>
      </c>
      <c r="AB4" s="242">
        <v>6</v>
      </c>
      <c r="AC4" s="243">
        <v>6.5</v>
      </c>
      <c r="AD4" s="16">
        <v>6.5</v>
      </c>
      <c r="AE4" s="14"/>
      <c r="AF4" s="17">
        <v>6.825</v>
      </c>
      <c r="AG4" s="80" t="s">
        <v>19</v>
      </c>
      <c r="AH4" s="81" t="s">
        <v>93</v>
      </c>
      <c r="AI4" s="81" t="s">
        <v>107</v>
      </c>
      <c r="AJ4" s="30" t="s">
        <v>108</v>
      </c>
      <c r="AK4" s="31">
        <v>40663</v>
      </c>
      <c r="AL4" s="173" t="s">
        <v>228</v>
      </c>
    </row>
    <row r="5" spans="1:38" ht="15" customHeight="1">
      <c r="A5" s="32">
        <v>2</v>
      </c>
      <c r="B5" s="33" t="s">
        <v>110</v>
      </c>
      <c r="C5" s="34" t="s">
        <v>229</v>
      </c>
      <c r="D5" s="34" t="s">
        <v>20</v>
      </c>
      <c r="E5" s="244">
        <v>138</v>
      </c>
      <c r="F5" s="82" t="s">
        <v>113</v>
      </c>
      <c r="G5" s="83">
        <v>0</v>
      </c>
      <c r="H5" s="84" t="s">
        <v>114</v>
      </c>
      <c r="I5" s="84">
        <v>0</v>
      </c>
      <c r="J5" s="85" t="s">
        <v>115</v>
      </c>
      <c r="K5" s="245">
        <v>6.5</v>
      </c>
      <c r="L5" s="242">
        <v>6.5</v>
      </c>
      <c r="M5" s="242">
        <v>7</v>
      </c>
      <c r="N5" s="242">
        <v>7</v>
      </c>
      <c r="O5" s="242">
        <v>7</v>
      </c>
      <c r="P5" s="242">
        <v>7</v>
      </c>
      <c r="Q5" s="242">
        <v>7.5</v>
      </c>
      <c r="R5" s="242">
        <v>7.5</v>
      </c>
      <c r="S5" s="246">
        <v>7.5</v>
      </c>
      <c r="T5" s="18"/>
      <c r="U5" s="15">
        <v>7.1</v>
      </c>
      <c r="V5" s="247">
        <v>7</v>
      </c>
      <c r="W5" s="238">
        <v>7</v>
      </c>
      <c r="X5" s="238">
        <v>7</v>
      </c>
      <c r="Y5" s="248">
        <v>7</v>
      </c>
      <c r="Z5" s="16">
        <v>7</v>
      </c>
      <c r="AA5" s="247">
        <v>5</v>
      </c>
      <c r="AB5" s="238">
        <v>5.5</v>
      </c>
      <c r="AC5" s="248">
        <v>6.5</v>
      </c>
      <c r="AD5" s="16">
        <v>5.666666666666667</v>
      </c>
      <c r="AE5" s="18"/>
      <c r="AF5" s="17">
        <v>6.65</v>
      </c>
      <c r="AG5" s="86" t="s">
        <v>19</v>
      </c>
      <c r="AH5" s="87" t="s">
        <v>111</v>
      </c>
      <c r="AI5" s="87" t="s">
        <v>112</v>
      </c>
      <c r="AJ5" s="30" t="s">
        <v>88</v>
      </c>
      <c r="AK5" s="31">
        <v>40650</v>
      </c>
      <c r="AL5" s="173" t="s">
        <v>230</v>
      </c>
    </row>
    <row r="6" spans="1:38" ht="15" customHeight="1">
      <c r="A6" s="88">
        <v>3</v>
      </c>
      <c r="B6" s="35" t="s">
        <v>116</v>
      </c>
      <c r="C6" s="36" t="s">
        <v>52</v>
      </c>
      <c r="D6" s="36" t="s">
        <v>20</v>
      </c>
      <c r="E6" s="249">
        <v>145</v>
      </c>
      <c r="F6" s="76" t="s">
        <v>119</v>
      </c>
      <c r="G6" s="77">
        <v>0</v>
      </c>
      <c r="H6" s="77" t="s">
        <v>120</v>
      </c>
      <c r="I6" s="78">
        <v>0</v>
      </c>
      <c r="J6" s="89" t="s">
        <v>121</v>
      </c>
      <c r="K6" s="237">
        <v>7.5</v>
      </c>
      <c r="L6" s="238">
        <v>8</v>
      </c>
      <c r="M6" s="238">
        <v>8</v>
      </c>
      <c r="N6" s="238">
        <v>7.5</v>
      </c>
      <c r="O6" s="238">
        <v>8</v>
      </c>
      <c r="P6" s="238">
        <v>7.5</v>
      </c>
      <c r="Q6" s="238">
        <v>7.5</v>
      </c>
      <c r="R6" s="238">
        <v>8</v>
      </c>
      <c r="S6" s="239">
        <v>8</v>
      </c>
      <c r="T6" s="19"/>
      <c r="U6" s="15">
        <v>7.8</v>
      </c>
      <c r="V6" s="250">
        <v>8</v>
      </c>
      <c r="W6" s="242">
        <v>8</v>
      </c>
      <c r="X6" s="242">
        <v>8</v>
      </c>
      <c r="Y6" s="251">
        <v>8</v>
      </c>
      <c r="Z6" s="16">
        <v>8</v>
      </c>
      <c r="AA6" s="250">
        <v>7</v>
      </c>
      <c r="AB6" s="242">
        <v>8.5</v>
      </c>
      <c r="AC6" s="251">
        <v>7.5</v>
      </c>
      <c r="AD6" s="16">
        <v>7.666666666666667</v>
      </c>
      <c r="AE6" s="19"/>
      <c r="AF6" s="17">
        <v>7.8</v>
      </c>
      <c r="AG6" s="83" t="s">
        <v>19</v>
      </c>
      <c r="AH6" s="84" t="s">
        <v>117</v>
      </c>
      <c r="AI6" s="84" t="s">
        <v>118</v>
      </c>
      <c r="AJ6" s="30" t="s">
        <v>96</v>
      </c>
      <c r="AK6" s="31">
        <v>40691</v>
      </c>
      <c r="AL6" s="173" t="s">
        <v>228</v>
      </c>
    </row>
    <row r="7" spans="1:38" ht="15" customHeight="1">
      <c r="A7" s="32">
        <v>4</v>
      </c>
      <c r="B7" s="33" t="s">
        <v>122</v>
      </c>
      <c r="C7" s="34" t="s">
        <v>52</v>
      </c>
      <c r="D7" s="34" t="s">
        <v>20</v>
      </c>
      <c r="E7" s="244">
        <v>146</v>
      </c>
      <c r="F7" s="82" t="s">
        <v>196</v>
      </c>
      <c r="G7" s="83">
        <v>0</v>
      </c>
      <c r="H7" s="84" t="s">
        <v>126</v>
      </c>
      <c r="I7" s="84">
        <v>0</v>
      </c>
      <c r="J7" s="90" t="s">
        <v>115</v>
      </c>
      <c r="K7" s="245">
        <v>8</v>
      </c>
      <c r="L7" s="242">
        <v>7.5</v>
      </c>
      <c r="M7" s="242">
        <v>7</v>
      </c>
      <c r="N7" s="242">
        <v>7.5</v>
      </c>
      <c r="O7" s="242">
        <v>7.5</v>
      </c>
      <c r="P7" s="242">
        <v>7</v>
      </c>
      <c r="Q7" s="242">
        <v>7.5</v>
      </c>
      <c r="R7" s="242">
        <v>8</v>
      </c>
      <c r="S7" s="246">
        <v>8</v>
      </c>
      <c r="T7" s="18"/>
      <c r="U7" s="15">
        <v>7.6</v>
      </c>
      <c r="V7" s="247">
        <v>6</v>
      </c>
      <c r="W7" s="252">
        <v>7</v>
      </c>
      <c r="X7" s="238">
        <v>6</v>
      </c>
      <c r="Y7" s="248">
        <v>7</v>
      </c>
      <c r="Z7" s="16">
        <v>6.5</v>
      </c>
      <c r="AA7" s="247">
        <v>7.5</v>
      </c>
      <c r="AB7" s="238">
        <v>7</v>
      </c>
      <c r="AC7" s="248">
        <v>8</v>
      </c>
      <c r="AD7" s="16">
        <v>7.5</v>
      </c>
      <c r="AE7" s="18"/>
      <c r="AF7" s="17">
        <v>7.35</v>
      </c>
      <c r="AG7" s="86" t="s">
        <v>19</v>
      </c>
      <c r="AH7" s="87" t="s">
        <v>123</v>
      </c>
      <c r="AI7" s="87" t="s">
        <v>124</v>
      </c>
      <c r="AJ7" s="30" t="s">
        <v>125</v>
      </c>
      <c r="AK7" s="31">
        <v>40726</v>
      </c>
      <c r="AL7" s="173" t="s">
        <v>230</v>
      </c>
    </row>
    <row r="8" spans="1:38" ht="15" customHeight="1">
      <c r="A8" s="88">
        <v>5</v>
      </c>
      <c r="B8" s="35" t="s">
        <v>127</v>
      </c>
      <c r="C8" s="36" t="s">
        <v>52</v>
      </c>
      <c r="D8" s="36" t="s">
        <v>20</v>
      </c>
      <c r="E8" s="244">
        <v>146</v>
      </c>
      <c r="F8" s="76" t="s">
        <v>131</v>
      </c>
      <c r="G8" s="77">
        <v>0</v>
      </c>
      <c r="H8" s="77" t="s">
        <v>132</v>
      </c>
      <c r="I8" s="78">
        <v>0</v>
      </c>
      <c r="J8" s="89" t="s">
        <v>133</v>
      </c>
      <c r="K8" s="237">
        <v>6.5</v>
      </c>
      <c r="L8" s="247">
        <v>6.5</v>
      </c>
      <c r="M8" s="247">
        <v>7</v>
      </c>
      <c r="N8" s="247">
        <v>7.5</v>
      </c>
      <c r="O8" s="238">
        <v>7</v>
      </c>
      <c r="P8" s="238">
        <v>7.5</v>
      </c>
      <c r="Q8" s="238">
        <v>7</v>
      </c>
      <c r="R8" s="238">
        <v>7.5</v>
      </c>
      <c r="S8" s="239">
        <v>7</v>
      </c>
      <c r="T8" s="19"/>
      <c r="U8" s="15">
        <v>7.05</v>
      </c>
      <c r="V8" s="250">
        <v>6.5</v>
      </c>
      <c r="W8" s="242">
        <v>7.5</v>
      </c>
      <c r="X8" s="242">
        <v>7</v>
      </c>
      <c r="Y8" s="251">
        <v>7</v>
      </c>
      <c r="Z8" s="16">
        <v>7</v>
      </c>
      <c r="AA8" s="250">
        <v>5.5</v>
      </c>
      <c r="AB8" s="242">
        <v>6</v>
      </c>
      <c r="AC8" s="251">
        <v>7.5</v>
      </c>
      <c r="AD8" s="16">
        <v>6.333333333333333</v>
      </c>
      <c r="AE8" s="19"/>
      <c r="AF8" s="17">
        <v>6.825</v>
      </c>
      <c r="AG8" s="83" t="s">
        <v>19</v>
      </c>
      <c r="AH8" s="84" t="s">
        <v>128</v>
      </c>
      <c r="AI8" s="84" t="s">
        <v>129</v>
      </c>
      <c r="AJ8" s="30" t="s">
        <v>130</v>
      </c>
      <c r="AK8" s="31">
        <v>40680</v>
      </c>
      <c r="AL8" s="173" t="s">
        <v>230</v>
      </c>
    </row>
    <row r="9" spans="1:38" ht="15" customHeight="1">
      <c r="A9" s="32">
        <v>6</v>
      </c>
      <c r="B9" s="33" t="s">
        <v>197</v>
      </c>
      <c r="C9" s="34" t="s">
        <v>52</v>
      </c>
      <c r="D9" s="34" t="s">
        <v>20</v>
      </c>
      <c r="E9" s="244">
        <v>147</v>
      </c>
      <c r="F9" s="82" t="s">
        <v>201</v>
      </c>
      <c r="G9" s="83">
        <v>0</v>
      </c>
      <c r="H9" s="84" t="s">
        <v>202</v>
      </c>
      <c r="I9" s="84">
        <v>0</v>
      </c>
      <c r="J9" s="90" t="s">
        <v>203</v>
      </c>
      <c r="K9" s="245">
        <v>8</v>
      </c>
      <c r="L9" s="242">
        <v>8.5</v>
      </c>
      <c r="M9" s="242">
        <v>7</v>
      </c>
      <c r="N9" s="242">
        <v>7</v>
      </c>
      <c r="O9" s="242">
        <v>7</v>
      </c>
      <c r="P9" s="242">
        <v>7</v>
      </c>
      <c r="Q9" s="242">
        <v>7.5</v>
      </c>
      <c r="R9" s="242">
        <v>7</v>
      </c>
      <c r="S9" s="242">
        <v>7.5</v>
      </c>
      <c r="T9" s="18"/>
      <c r="U9" s="15">
        <v>7.4</v>
      </c>
      <c r="V9" s="247">
        <v>6.5</v>
      </c>
      <c r="W9" s="238">
        <v>7</v>
      </c>
      <c r="X9" s="238">
        <v>7</v>
      </c>
      <c r="Y9" s="248">
        <v>7</v>
      </c>
      <c r="Z9" s="16">
        <v>6.875</v>
      </c>
      <c r="AA9" s="247">
        <v>7.5</v>
      </c>
      <c r="AB9" s="238">
        <v>7.5</v>
      </c>
      <c r="AC9" s="248">
        <v>8</v>
      </c>
      <c r="AD9" s="16">
        <v>7.666666666666667</v>
      </c>
      <c r="AE9" s="18"/>
      <c r="AF9" s="17">
        <v>7.375</v>
      </c>
      <c r="AG9" s="86" t="s">
        <v>19</v>
      </c>
      <c r="AH9" s="87" t="s">
        <v>198</v>
      </c>
      <c r="AI9" s="87" t="s">
        <v>199</v>
      </c>
      <c r="AJ9" s="30" t="s">
        <v>200</v>
      </c>
      <c r="AK9" s="31">
        <v>40678</v>
      </c>
      <c r="AL9" s="173" t="s">
        <v>228</v>
      </c>
    </row>
    <row r="10" spans="1:38" ht="15" customHeight="1">
      <c r="A10" s="88">
        <v>7</v>
      </c>
      <c r="B10" s="35" t="s">
        <v>204</v>
      </c>
      <c r="C10" s="36" t="s">
        <v>52</v>
      </c>
      <c r="D10" s="36" t="s">
        <v>21</v>
      </c>
      <c r="E10" s="244">
        <v>147</v>
      </c>
      <c r="F10" s="76" t="s">
        <v>208</v>
      </c>
      <c r="G10" s="77">
        <v>0</v>
      </c>
      <c r="H10" s="77" t="s">
        <v>209</v>
      </c>
      <c r="I10" s="78">
        <v>0</v>
      </c>
      <c r="J10" s="89" t="s">
        <v>210</v>
      </c>
      <c r="K10" s="237">
        <v>8</v>
      </c>
      <c r="L10" s="238">
        <v>7.5</v>
      </c>
      <c r="M10" s="238">
        <v>7.5</v>
      </c>
      <c r="N10" s="238">
        <v>7.5</v>
      </c>
      <c r="O10" s="238">
        <v>8</v>
      </c>
      <c r="P10" s="238">
        <v>6</v>
      </c>
      <c r="Q10" s="238">
        <v>8</v>
      </c>
      <c r="R10" s="238">
        <v>8</v>
      </c>
      <c r="S10" s="239">
        <v>8</v>
      </c>
      <c r="T10" s="19"/>
      <c r="U10" s="15">
        <v>7.65</v>
      </c>
      <c r="V10" s="250">
        <v>7</v>
      </c>
      <c r="W10" s="242">
        <v>6</v>
      </c>
      <c r="X10" s="242">
        <v>6</v>
      </c>
      <c r="Y10" s="251">
        <v>6.5</v>
      </c>
      <c r="Z10" s="16">
        <v>6.375</v>
      </c>
      <c r="AA10" s="250">
        <v>7.5</v>
      </c>
      <c r="AB10" s="242">
        <v>8</v>
      </c>
      <c r="AC10" s="251">
        <v>8</v>
      </c>
      <c r="AD10" s="16">
        <v>7.833333333333333</v>
      </c>
      <c r="AE10" s="19"/>
      <c r="AF10" s="17">
        <v>7.45</v>
      </c>
      <c r="AG10" s="83" t="s">
        <v>19</v>
      </c>
      <c r="AH10" s="84" t="s">
        <v>205</v>
      </c>
      <c r="AI10" s="84" t="s">
        <v>206</v>
      </c>
      <c r="AJ10" s="30" t="s">
        <v>207</v>
      </c>
      <c r="AK10" s="31">
        <v>40689</v>
      </c>
      <c r="AL10" s="173" t="s">
        <v>230</v>
      </c>
    </row>
    <row r="11" spans="1:38" ht="15" customHeight="1">
      <c r="A11" s="32">
        <v>8</v>
      </c>
      <c r="B11" s="33" t="s">
        <v>140</v>
      </c>
      <c r="C11" s="34" t="s">
        <v>52</v>
      </c>
      <c r="D11" s="34" t="s">
        <v>21</v>
      </c>
      <c r="E11" s="244">
        <v>148</v>
      </c>
      <c r="F11" s="82" t="s">
        <v>131</v>
      </c>
      <c r="G11" s="83">
        <v>0</v>
      </c>
      <c r="H11" s="84" t="s">
        <v>132</v>
      </c>
      <c r="I11" s="84">
        <v>0</v>
      </c>
      <c r="J11" s="90" t="s">
        <v>103</v>
      </c>
      <c r="K11" s="245">
        <v>8</v>
      </c>
      <c r="L11" s="242">
        <v>7.5</v>
      </c>
      <c r="M11" s="242">
        <v>6.5</v>
      </c>
      <c r="N11" s="242">
        <v>7.5</v>
      </c>
      <c r="O11" s="242">
        <v>7.5</v>
      </c>
      <c r="P11" s="242">
        <v>6.5</v>
      </c>
      <c r="Q11" s="242">
        <v>6.5</v>
      </c>
      <c r="R11" s="242">
        <v>7.5</v>
      </c>
      <c r="S11" s="246">
        <v>7.5</v>
      </c>
      <c r="T11" s="18"/>
      <c r="U11" s="15">
        <v>7.25</v>
      </c>
      <c r="V11" s="250">
        <v>6</v>
      </c>
      <c r="W11" s="242">
        <v>6</v>
      </c>
      <c r="X11" s="242">
        <v>6</v>
      </c>
      <c r="Y11" s="251">
        <v>7</v>
      </c>
      <c r="Z11" s="16">
        <v>6.25</v>
      </c>
      <c r="AA11" s="247">
        <v>7.5</v>
      </c>
      <c r="AB11" s="238">
        <v>7.5</v>
      </c>
      <c r="AC11" s="248">
        <v>7.5</v>
      </c>
      <c r="AD11" s="16">
        <v>7.5</v>
      </c>
      <c r="AE11" s="18"/>
      <c r="AF11" s="17">
        <v>7.125</v>
      </c>
      <c r="AG11" s="86" t="s">
        <v>19</v>
      </c>
      <c r="AH11" s="87" t="s">
        <v>128</v>
      </c>
      <c r="AI11" s="87" t="s">
        <v>141</v>
      </c>
      <c r="AJ11" s="30" t="s">
        <v>142</v>
      </c>
      <c r="AK11" s="31">
        <v>40675</v>
      </c>
      <c r="AL11" s="173" t="s">
        <v>230</v>
      </c>
    </row>
    <row r="12" spans="1:38" ht="15" customHeight="1">
      <c r="A12" s="88">
        <v>9</v>
      </c>
      <c r="B12" s="35" t="s">
        <v>143</v>
      </c>
      <c r="C12" s="34" t="s">
        <v>52</v>
      </c>
      <c r="D12" s="36" t="s">
        <v>20</v>
      </c>
      <c r="E12" s="244">
        <v>148</v>
      </c>
      <c r="F12" s="76" t="s">
        <v>131</v>
      </c>
      <c r="G12" s="77">
        <v>0</v>
      </c>
      <c r="H12" s="77" t="s">
        <v>132</v>
      </c>
      <c r="I12" s="78">
        <v>0</v>
      </c>
      <c r="J12" s="89" t="s">
        <v>133</v>
      </c>
      <c r="K12" s="237">
        <v>7.5</v>
      </c>
      <c r="L12" s="238">
        <v>8</v>
      </c>
      <c r="M12" s="238">
        <v>7.5</v>
      </c>
      <c r="N12" s="238">
        <v>7.5</v>
      </c>
      <c r="O12" s="238">
        <v>7.5</v>
      </c>
      <c r="P12" s="238">
        <v>6.5</v>
      </c>
      <c r="Q12" s="238">
        <v>7.5</v>
      </c>
      <c r="R12" s="238">
        <v>7.5</v>
      </c>
      <c r="S12" s="239">
        <v>7.5</v>
      </c>
      <c r="T12" s="19"/>
      <c r="U12" s="15">
        <v>7.45</v>
      </c>
      <c r="V12" s="250">
        <v>7</v>
      </c>
      <c r="W12" s="250">
        <v>7.5</v>
      </c>
      <c r="X12" s="250">
        <v>8</v>
      </c>
      <c r="Y12" s="250">
        <v>6.5</v>
      </c>
      <c r="Z12" s="16">
        <v>7.25</v>
      </c>
      <c r="AA12" s="250">
        <v>8</v>
      </c>
      <c r="AB12" s="242">
        <v>7</v>
      </c>
      <c r="AC12" s="251">
        <v>7.5</v>
      </c>
      <c r="AD12" s="16">
        <v>7.5</v>
      </c>
      <c r="AE12" s="19"/>
      <c r="AF12" s="17">
        <v>7.425</v>
      </c>
      <c r="AG12" s="83" t="s">
        <v>19</v>
      </c>
      <c r="AH12" s="84" t="s">
        <v>102</v>
      </c>
      <c r="AI12" s="84" t="s">
        <v>144</v>
      </c>
      <c r="AJ12" s="30" t="s">
        <v>145</v>
      </c>
      <c r="AK12" s="31">
        <v>40693</v>
      </c>
      <c r="AL12" s="173" t="s">
        <v>230</v>
      </c>
    </row>
    <row r="13" spans="1:38" ht="15" customHeight="1">
      <c r="A13" s="32">
        <v>10</v>
      </c>
      <c r="B13" s="33" t="s">
        <v>134</v>
      </c>
      <c r="C13" s="34" t="s">
        <v>52</v>
      </c>
      <c r="D13" s="34" t="s">
        <v>20</v>
      </c>
      <c r="E13" s="244">
        <v>148</v>
      </c>
      <c r="F13" s="82" t="s">
        <v>138</v>
      </c>
      <c r="G13" s="83">
        <v>0</v>
      </c>
      <c r="H13" s="84" t="s">
        <v>139</v>
      </c>
      <c r="I13" s="84">
        <v>0</v>
      </c>
      <c r="J13" s="90" t="s">
        <v>115</v>
      </c>
      <c r="K13" s="245">
        <v>7</v>
      </c>
      <c r="L13" s="242">
        <v>7.5</v>
      </c>
      <c r="M13" s="242">
        <v>6</v>
      </c>
      <c r="N13" s="242">
        <v>7.5</v>
      </c>
      <c r="O13" s="242">
        <v>7.5</v>
      </c>
      <c r="P13" s="242">
        <v>7</v>
      </c>
      <c r="Q13" s="242">
        <v>7.5</v>
      </c>
      <c r="R13" s="242">
        <v>7.5</v>
      </c>
      <c r="S13" s="246">
        <v>7</v>
      </c>
      <c r="T13" s="18"/>
      <c r="U13" s="15">
        <v>7.15</v>
      </c>
      <c r="V13" s="247">
        <v>7</v>
      </c>
      <c r="W13" s="238">
        <v>6.5</v>
      </c>
      <c r="X13" s="238">
        <v>6</v>
      </c>
      <c r="Y13" s="248">
        <v>7</v>
      </c>
      <c r="Z13" s="16">
        <v>6.625</v>
      </c>
      <c r="AA13" s="247">
        <v>6.5</v>
      </c>
      <c r="AB13" s="238">
        <v>6</v>
      </c>
      <c r="AC13" s="248">
        <v>8</v>
      </c>
      <c r="AD13" s="16">
        <v>6.833333333333333</v>
      </c>
      <c r="AE13" s="18"/>
      <c r="AF13" s="17">
        <v>6.95</v>
      </c>
      <c r="AG13" s="86" t="s">
        <v>19</v>
      </c>
      <c r="AH13" s="87" t="s">
        <v>135</v>
      </c>
      <c r="AI13" s="87" t="s">
        <v>136</v>
      </c>
      <c r="AJ13" s="30" t="s">
        <v>137</v>
      </c>
      <c r="AK13" s="31">
        <v>40683</v>
      </c>
      <c r="AL13" s="173" t="s">
        <v>230</v>
      </c>
    </row>
    <row r="14" spans="1:38" ht="15" customHeight="1">
      <c r="A14" s="88">
        <v>11</v>
      </c>
      <c r="B14" s="35" t="s">
        <v>149</v>
      </c>
      <c r="C14" s="36" t="s">
        <v>52</v>
      </c>
      <c r="D14" s="36" t="s">
        <v>20</v>
      </c>
      <c r="E14" s="253">
        <v>148</v>
      </c>
      <c r="F14" s="76" t="s">
        <v>153</v>
      </c>
      <c r="G14" s="77">
        <v>0</v>
      </c>
      <c r="H14" s="77" t="s">
        <v>154</v>
      </c>
      <c r="I14" s="78">
        <v>0</v>
      </c>
      <c r="J14" s="89" t="s">
        <v>155</v>
      </c>
      <c r="K14" s="237">
        <v>6.5</v>
      </c>
      <c r="L14" s="238">
        <v>7.5</v>
      </c>
      <c r="M14" s="238">
        <v>7</v>
      </c>
      <c r="N14" s="238">
        <v>8</v>
      </c>
      <c r="O14" s="238">
        <v>8</v>
      </c>
      <c r="P14" s="238">
        <v>7</v>
      </c>
      <c r="Q14" s="238">
        <v>7.5</v>
      </c>
      <c r="R14" s="238">
        <v>8</v>
      </c>
      <c r="S14" s="239">
        <v>7</v>
      </c>
      <c r="T14" s="19"/>
      <c r="U14" s="15">
        <v>7.35</v>
      </c>
      <c r="V14" s="250">
        <v>7.5</v>
      </c>
      <c r="W14" s="242">
        <v>8.5</v>
      </c>
      <c r="X14" s="242">
        <v>8</v>
      </c>
      <c r="Y14" s="251">
        <v>8</v>
      </c>
      <c r="Z14" s="16">
        <v>8</v>
      </c>
      <c r="AA14" s="250">
        <v>7.5</v>
      </c>
      <c r="AB14" s="242">
        <v>6.5</v>
      </c>
      <c r="AC14" s="251">
        <v>6.5</v>
      </c>
      <c r="AD14" s="16">
        <v>6.833333333333333</v>
      </c>
      <c r="AE14" s="19"/>
      <c r="AF14" s="17">
        <v>7.325</v>
      </c>
      <c r="AG14" s="83" t="s">
        <v>19</v>
      </c>
      <c r="AH14" s="84" t="s">
        <v>150</v>
      </c>
      <c r="AI14" s="84" t="s">
        <v>151</v>
      </c>
      <c r="AJ14" s="30" t="s">
        <v>152</v>
      </c>
      <c r="AK14" s="31">
        <v>40678</v>
      </c>
      <c r="AL14" s="173" t="s">
        <v>228</v>
      </c>
    </row>
    <row r="15" spans="1:38" ht="15" customHeight="1">
      <c r="A15" s="32">
        <v>12</v>
      </c>
      <c r="B15" s="33" t="s">
        <v>161</v>
      </c>
      <c r="C15" s="34" t="s">
        <v>53</v>
      </c>
      <c r="D15" s="34" t="s">
        <v>83</v>
      </c>
      <c r="E15" s="244">
        <v>125</v>
      </c>
      <c r="F15" s="82" t="s">
        <v>85</v>
      </c>
      <c r="G15" s="83">
        <v>0</v>
      </c>
      <c r="H15" s="84" t="s">
        <v>86</v>
      </c>
      <c r="I15" s="84">
        <v>0</v>
      </c>
      <c r="J15" s="90" t="s">
        <v>159</v>
      </c>
      <c r="K15" s="245">
        <v>7.5</v>
      </c>
      <c r="L15" s="242">
        <v>7</v>
      </c>
      <c r="M15" s="242">
        <v>6.5</v>
      </c>
      <c r="N15" s="242">
        <v>6.5</v>
      </c>
      <c r="O15" s="242">
        <v>7</v>
      </c>
      <c r="P15" s="242">
        <v>6</v>
      </c>
      <c r="Q15" s="242">
        <v>7</v>
      </c>
      <c r="R15" s="242">
        <v>7</v>
      </c>
      <c r="S15" s="246">
        <v>7</v>
      </c>
      <c r="T15" s="18"/>
      <c r="U15" s="15">
        <v>6.85</v>
      </c>
      <c r="V15" s="247">
        <v>6.5</v>
      </c>
      <c r="W15" s="238">
        <v>6.5</v>
      </c>
      <c r="X15" s="238">
        <v>6.5</v>
      </c>
      <c r="Y15" s="248">
        <v>6</v>
      </c>
      <c r="Z15" s="16">
        <v>6.375</v>
      </c>
      <c r="AA15" s="247">
        <v>6.5</v>
      </c>
      <c r="AB15" s="238">
        <v>6.5</v>
      </c>
      <c r="AC15" s="248">
        <v>6.5</v>
      </c>
      <c r="AD15" s="16">
        <v>6.5</v>
      </c>
      <c r="AE15" s="18"/>
      <c r="AF15" s="17">
        <v>6.65</v>
      </c>
      <c r="AG15" s="86" t="s">
        <v>23</v>
      </c>
      <c r="AH15" s="87" t="s">
        <v>93</v>
      </c>
      <c r="AI15" s="87" t="s">
        <v>162</v>
      </c>
      <c r="AJ15" s="30" t="s">
        <v>163</v>
      </c>
      <c r="AK15" s="31">
        <v>40816</v>
      </c>
      <c r="AL15" s="173" t="s">
        <v>230</v>
      </c>
    </row>
    <row r="16" spans="1:38" ht="15" customHeight="1">
      <c r="A16" s="88">
        <v>13</v>
      </c>
      <c r="B16" s="35" t="s">
        <v>156</v>
      </c>
      <c r="C16" s="36" t="s">
        <v>53</v>
      </c>
      <c r="D16" s="36" t="s">
        <v>83</v>
      </c>
      <c r="E16" s="249">
        <v>125</v>
      </c>
      <c r="F16" s="76" t="s">
        <v>85</v>
      </c>
      <c r="G16" s="77">
        <v>0</v>
      </c>
      <c r="H16" s="77" t="s">
        <v>86</v>
      </c>
      <c r="I16" s="78">
        <v>0</v>
      </c>
      <c r="J16" s="89" t="s">
        <v>232</v>
      </c>
      <c r="K16" s="237">
        <v>7.5</v>
      </c>
      <c r="L16" s="238">
        <v>6.5</v>
      </c>
      <c r="M16" s="238">
        <v>7</v>
      </c>
      <c r="N16" s="238">
        <v>7</v>
      </c>
      <c r="O16" s="238">
        <v>7</v>
      </c>
      <c r="P16" s="238">
        <v>6.5</v>
      </c>
      <c r="Q16" s="238">
        <v>7</v>
      </c>
      <c r="R16" s="238">
        <v>7</v>
      </c>
      <c r="S16" s="239">
        <v>7</v>
      </c>
      <c r="T16" s="19"/>
      <c r="U16" s="15">
        <v>6.95</v>
      </c>
      <c r="V16" s="250">
        <v>7</v>
      </c>
      <c r="W16" s="242">
        <v>7.5</v>
      </c>
      <c r="X16" s="242">
        <v>7.5</v>
      </c>
      <c r="Y16" s="251">
        <v>8</v>
      </c>
      <c r="Z16" s="16">
        <v>7.5</v>
      </c>
      <c r="AA16" s="250">
        <v>7</v>
      </c>
      <c r="AB16" s="242">
        <v>6.5</v>
      </c>
      <c r="AC16" s="251">
        <v>7</v>
      </c>
      <c r="AD16" s="16">
        <v>6.833333333333333</v>
      </c>
      <c r="AE16" s="19"/>
      <c r="AF16" s="17">
        <v>7.025</v>
      </c>
      <c r="AG16" s="83" t="s">
        <v>23</v>
      </c>
      <c r="AH16" s="84" t="s">
        <v>93</v>
      </c>
      <c r="AI16" s="84" t="s">
        <v>157</v>
      </c>
      <c r="AJ16" s="30" t="s">
        <v>158</v>
      </c>
      <c r="AK16" s="31">
        <v>40690</v>
      </c>
      <c r="AL16" s="173" t="s">
        <v>230</v>
      </c>
    </row>
    <row r="17" spans="1:38" ht="15" customHeight="1">
      <c r="A17" s="32">
        <v>14</v>
      </c>
      <c r="B17" s="33" t="s">
        <v>160</v>
      </c>
      <c r="C17" s="34" t="s">
        <v>53</v>
      </c>
      <c r="D17" s="34" t="s">
        <v>83</v>
      </c>
      <c r="E17" s="244">
        <v>125</v>
      </c>
      <c r="F17" s="82" t="s">
        <v>85</v>
      </c>
      <c r="G17" s="83">
        <v>0</v>
      </c>
      <c r="H17" s="84" t="s">
        <v>86</v>
      </c>
      <c r="I17" s="84">
        <v>0</v>
      </c>
      <c r="J17" s="90" t="s">
        <v>233</v>
      </c>
      <c r="K17" s="245">
        <v>6.5</v>
      </c>
      <c r="L17" s="242">
        <v>7</v>
      </c>
      <c r="M17" s="242">
        <v>6.5</v>
      </c>
      <c r="N17" s="242">
        <v>6.5</v>
      </c>
      <c r="O17" s="242">
        <v>7</v>
      </c>
      <c r="P17" s="242">
        <v>6.5</v>
      </c>
      <c r="Q17" s="242">
        <v>7.5</v>
      </c>
      <c r="R17" s="242">
        <v>7</v>
      </c>
      <c r="S17" s="246">
        <v>7</v>
      </c>
      <c r="T17" s="18"/>
      <c r="U17" s="15">
        <v>6.85</v>
      </c>
      <c r="V17" s="247">
        <v>7</v>
      </c>
      <c r="W17" s="238">
        <v>6</v>
      </c>
      <c r="X17" s="238">
        <v>6</v>
      </c>
      <c r="Y17" s="248">
        <v>7.5</v>
      </c>
      <c r="Z17" s="16">
        <v>6.625</v>
      </c>
      <c r="AA17" s="247">
        <v>6.5</v>
      </c>
      <c r="AB17" s="238">
        <v>7</v>
      </c>
      <c r="AC17" s="248">
        <v>6.5</v>
      </c>
      <c r="AD17" s="16">
        <v>6.666666666666667</v>
      </c>
      <c r="AE17" s="18"/>
      <c r="AF17" s="17">
        <v>6.75</v>
      </c>
      <c r="AG17" s="86" t="s">
        <v>23</v>
      </c>
      <c r="AH17" s="87" t="s">
        <v>93</v>
      </c>
      <c r="AI17" s="87" t="s">
        <v>97</v>
      </c>
      <c r="AJ17" s="30" t="s">
        <v>84</v>
      </c>
      <c r="AK17" s="31">
        <v>40772</v>
      </c>
      <c r="AL17" s="173" t="s">
        <v>230</v>
      </c>
    </row>
    <row r="18" spans="1:38" ht="15" customHeight="1">
      <c r="A18" s="88">
        <v>15</v>
      </c>
      <c r="B18" s="35" t="s">
        <v>164</v>
      </c>
      <c r="C18" s="36" t="s">
        <v>51</v>
      </c>
      <c r="D18" s="36" t="s">
        <v>20</v>
      </c>
      <c r="E18" s="249">
        <v>144</v>
      </c>
      <c r="F18" s="76" t="s">
        <v>167</v>
      </c>
      <c r="G18" s="77">
        <v>0</v>
      </c>
      <c r="H18" s="77" t="s">
        <v>168</v>
      </c>
      <c r="I18" s="78">
        <v>0</v>
      </c>
      <c r="J18" s="89" t="s">
        <v>169</v>
      </c>
      <c r="K18" s="237"/>
      <c r="L18" s="238"/>
      <c r="M18" s="238"/>
      <c r="N18" s="238"/>
      <c r="O18" s="238"/>
      <c r="P18" s="238"/>
      <c r="Q18" s="238"/>
      <c r="R18" s="238"/>
      <c r="S18" s="239"/>
      <c r="T18" s="19"/>
      <c r="U18" s="15">
        <v>0</v>
      </c>
      <c r="V18" s="250"/>
      <c r="W18" s="242"/>
      <c r="X18" s="242"/>
      <c r="Y18" s="251"/>
      <c r="Z18" s="16">
        <v>0</v>
      </c>
      <c r="AA18" s="250"/>
      <c r="AB18" s="242"/>
      <c r="AC18" s="251"/>
      <c r="AD18" s="16">
        <v>0</v>
      </c>
      <c r="AE18" s="19"/>
      <c r="AF18" s="17">
        <v>0</v>
      </c>
      <c r="AG18" s="83" t="s">
        <v>23</v>
      </c>
      <c r="AH18" s="84" t="s">
        <v>98</v>
      </c>
      <c r="AI18" s="84" t="s">
        <v>165</v>
      </c>
      <c r="AJ18" s="30" t="s">
        <v>166</v>
      </c>
      <c r="AK18" s="31">
        <v>40616</v>
      </c>
      <c r="AL18" s="173" t="s">
        <v>228</v>
      </c>
    </row>
    <row r="19" spans="1:38" ht="15" customHeight="1">
      <c r="A19" s="32">
        <v>16</v>
      </c>
      <c r="B19" s="33" t="s">
        <v>170</v>
      </c>
      <c r="C19" s="34" t="s">
        <v>51</v>
      </c>
      <c r="D19" s="34" t="s">
        <v>20</v>
      </c>
      <c r="E19" s="244">
        <v>145</v>
      </c>
      <c r="F19" s="82" t="s">
        <v>174</v>
      </c>
      <c r="G19" s="83">
        <v>0</v>
      </c>
      <c r="H19" s="84" t="s">
        <v>175</v>
      </c>
      <c r="I19" s="84">
        <v>0</v>
      </c>
      <c r="J19" s="90" t="s">
        <v>176</v>
      </c>
      <c r="K19" s="245">
        <v>8.5</v>
      </c>
      <c r="L19" s="242">
        <v>7.5</v>
      </c>
      <c r="M19" s="242">
        <v>7</v>
      </c>
      <c r="N19" s="242">
        <v>7</v>
      </c>
      <c r="O19" s="242">
        <v>7.5</v>
      </c>
      <c r="P19" s="242">
        <v>5.5</v>
      </c>
      <c r="Q19" s="242">
        <v>7</v>
      </c>
      <c r="R19" s="242">
        <v>8</v>
      </c>
      <c r="S19" s="246">
        <v>8</v>
      </c>
      <c r="T19" s="18"/>
      <c r="U19" s="15">
        <v>7.4</v>
      </c>
      <c r="V19" s="247">
        <v>6</v>
      </c>
      <c r="W19" s="238">
        <v>6</v>
      </c>
      <c r="X19" s="238">
        <v>6.5</v>
      </c>
      <c r="Y19" s="248">
        <v>7</v>
      </c>
      <c r="Z19" s="16">
        <v>6.375</v>
      </c>
      <c r="AA19" s="247">
        <v>7</v>
      </c>
      <c r="AB19" s="238">
        <v>7.5</v>
      </c>
      <c r="AC19" s="248">
        <v>7.5</v>
      </c>
      <c r="AD19" s="16">
        <v>7.333333333333333</v>
      </c>
      <c r="AE19" s="18"/>
      <c r="AF19" s="17">
        <v>7.175</v>
      </c>
      <c r="AG19" s="86" t="s">
        <v>23</v>
      </c>
      <c r="AH19" s="87" t="s">
        <v>171</v>
      </c>
      <c r="AI19" s="87" t="s">
        <v>172</v>
      </c>
      <c r="AJ19" s="30" t="s">
        <v>173</v>
      </c>
      <c r="AK19" s="31">
        <v>40651</v>
      </c>
      <c r="AL19" s="173" t="s">
        <v>230</v>
      </c>
    </row>
    <row r="20" spans="1:38" ht="15" customHeight="1">
      <c r="A20" s="88">
        <v>17</v>
      </c>
      <c r="B20" s="35" t="s">
        <v>177</v>
      </c>
      <c r="C20" s="36" t="s">
        <v>51</v>
      </c>
      <c r="D20" s="36" t="s">
        <v>178</v>
      </c>
      <c r="E20" s="249">
        <v>147</v>
      </c>
      <c r="F20" s="76" t="s">
        <v>181</v>
      </c>
      <c r="G20" s="77">
        <v>0</v>
      </c>
      <c r="H20" s="77" t="s">
        <v>182</v>
      </c>
      <c r="I20" s="78">
        <v>0</v>
      </c>
      <c r="J20" s="89" t="s">
        <v>183</v>
      </c>
      <c r="K20" s="254">
        <v>6</v>
      </c>
      <c r="L20" s="252">
        <v>7.5</v>
      </c>
      <c r="M20" s="252">
        <v>5.5</v>
      </c>
      <c r="N20" s="252">
        <v>6</v>
      </c>
      <c r="O20" s="252">
        <v>7</v>
      </c>
      <c r="P20" s="252">
        <v>6.5</v>
      </c>
      <c r="Q20" s="252">
        <v>7</v>
      </c>
      <c r="R20" s="252">
        <v>7</v>
      </c>
      <c r="S20" s="239">
        <v>6</v>
      </c>
      <c r="T20" s="19"/>
      <c r="U20" s="15">
        <v>6.45</v>
      </c>
      <c r="V20" s="250">
        <v>6</v>
      </c>
      <c r="W20" s="242">
        <v>7.5</v>
      </c>
      <c r="X20" s="242">
        <v>8</v>
      </c>
      <c r="Y20" s="251">
        <v>7</v>
      </c>
      <c r="Z20" s="16">
        <v>7.125</v>
      </c>
      <c r="AA20" s="250">
        <v>7.5</v>
      </c>
      <c r="AB20" s="242">
        <v>6.5</v>
      </c>
      <c r="AC20" s="251">
        <v>7</v>
      </c>
      <c r="AD20" s="16">
        <v>7</v>
      </c>
      <c r="AE20" s="19"/>
      <c r="AF20" s="17">
        <v>6.75</v>
      </c>
      <c r="AG20" s="83" t="s">
        <v>23</v>
      </c>
      <c r="AH20" s="84" t="s">
        <v>99</v>
      </c>
      <c r="AI20" s="84" t="s">
        <v>179</v>
      </c>
      <c r="AJ20" s="30" t="s">
        <v>180</v>
      </c>
      <c r="AK20" s="31">
        <v>40654</v>
      </c>
      <c r="AL20" s="173" t="s">
        <v>230</v>
      </c>
    </row>
    <row r="21" spans="1:38" ht="15" customHeight="1">
      <c r="A21" s="32">
        <v>18</v>
      </c>
      <c r="B21" s="33" t="s">
        <v>211</v>
      </c>
      <c r="C21" s="34" t="s">
        <v>51</v>
      </c>
      <c r="D21" s="34" t="s">
        <v>20</v>
      </c>
      <c r="E21" s="244">
        <v>147</v>
      </c>
      <c r="F21" s="82" t="s">
        <v>201</v>
      </c>
      <c r="G21" s="83">
        <v>0</v>
      </c>
      <c r="H21" s="84" t="s">
        <v>202</v>
      </c>
      <c r="I21" s="84">
        <v>0</v>
      </c>
      <c r="J21" s="90" t="s">
        <v>203</v>
      </c>
      <c r="K21" s="245">
        <v>7.5</v>
      </c>
      <c r="L21" s="242">
        <v>7.5</v>
      </c>
      <c r="M21" s="242">
        <v>8</v>
      </c>
      <c r="N21" s="242">
        <v>8</v>
      </c>
      <c r="O21" s="242">
        <v>7</v>
      </c>
      <c r="P21" s="242">
        <v>6.5</v>
      </c>
      <c r="Q21" s="242">
        <v>6.5</v>
      </c>
      <c r="R21" s="242">
        <v>7.5</v>
      </c>
      <c r="S21" s="246">
        <v>7.5</v>
      </c>
      <c r="T21" s="18"/>
      <c r="U21" s="15">
        <v>7.35</v>
      </c>
      <c r="V21" s="247">
        <v>6.5</v>
      </c>
      <c r="W21" s="252">
        <v>6.5</v>
      </c>
      <c r="X21" s="238">
        <v>7</v>
      </c>
      <c r="Y21" s="248">
        <v>7</v>
      </c>
      <c r="Z21" s="16">
        <v>6.75</v>
      </c>
      <c r="AA21" s="247">
        <v>6.5</v>
      </c>
      <c r="AB21" s="238">
        <v>6.5</v>
      </c>
      <c r="AC21" s="248">
        <v>6</v>
      </c>
      <c r="AD21" s="16">
        <v>6.333333333333333</v>
      </c>
      <c r="AE21" s="18"/>
      <c r="AF21" s="17">
        <v>6.925</v>
      </c>
      <c r="AG21" s="86" t="s">
        <v>80</v>
      </c>
      <c r="AH21" s="87" t="s">
        <v>212</v>
      </c>
      <c r="AI21" s="87" t="s">
        <v>213</v>
      </c>
      <c r="AJ21" s="30" t="s">
        <v>214</v>
      </c>
      <c r="AK21" s="31">
        <v>40679</v>
      </c>
      <c r="AL21" s="173" t="s">
        <v>228</v>
      </c>
    </row>
    <row r="22" spans="1:38" ht="15" customHeight="1">
      <c r="A22" s="88">
        <v>19</v>
      </c>
      <c r="B22" s="35" t="s">
        <v>146</v>
      </c>
      <c r="C22" s="36" t="s">
        <v>51</v>
      </c>
      <c r="D22" s="36" t="s">
        <v>22</v>
      </c>
      <c r="E22" s="244">
        <v>148</v>
      </c>
      <c r="F22" s="76" t="s">
        <v>100</v>
      </c>
      <c r="G22" s="77">
        <v>0</v>
      </c>
      <c r="H22" s="77" t="s">
        <v>101</v>
      </c>
      <c r="I22" s="78">
        <v>0</v>
      </c>
      <c r="J22" s="89" t="s">
        <v>115</v>
      </c>
      <c r="K22" s="237">
        <v>7</v>
      </c>
      <c r="L22" s="238">
        <v>6.5</v>
      </c>
      <c r="M22" s="238">
        <v>6.5</v>
      </c>
      <c r="N22" s="238">
        <v>7</v>
      </c>
      <c r="O22" s="238">
        <v>7</v>
      </c>
      <c r="P22" s="238">
        <v>7</v>
      </c>
      <c r="Q22" s="238">
        <v>7</v>
      </c>
      <c r="R22" s="238">
        <v>7</v>
      </c>
      <c r="S22" s="239">
        <v>7</v>
      </c>
      <c r="T22" s="19"/>
      <c r="U22" s="15">
        <v>6.9</v>
      </c>
      <c r="V22" s="250">
        <v>8</v>
      </c>
      <c r="W22" s="242">
        <v>8.5</v>
      </c>
      <c r="X22" s="242">
        <v>7.5</v>
      </c>
      <c r="Y22" s="251">
        <v>8</v>
      </c>
      <c r="Z22" s="16">
        <v>8</v>
      </c>
      <c r="AA22" s="250">
        <v>6.5</v>
      </c>
      <c r="AB22" s="242">
        <v>7.5</v>
      </c>
      <c r="AC22" s="251">
        <v>7.5</v>
      </c>
      <c r="AD22" s="16">
        <v>7.166666666666667</v>
      </c>
      <c r="AE22" s="19"/>
      <c r="AF22" s="17">
        <v>7.2</v>
      </c>
      <c r="AG22" s="83" t="s">
        <v>23</v>
      </c>
      <c r="AH22" s="84" t="s">
        <v>87</v>
      </c>
      <c r="AI22" s="84" t="s">
        <v>147</v>
      </c>
      <c r="AJ22" s="30" t="s">
        <v>148</v>
      </c>
      <c r="AK22" s="31">
        <v>40663</v>
      </c>
      <c r="AL22" s="173" t="s">
        <v>230</v>
      </c>
    </row>
    <row r="23" spans="1:38" ht="15" customHeight="1">
      <c r="A23" s="32">
        <v>20</v>
      </c>
      <c r="B23" s="91" t="s">
        <v>184</v>
      </c>
      <c r="C23" s="34" t="s">
        <v>51</v>
      </c>
      <c r="D23" s="92" t="s">
        <v>20</v>
      </c>
      <c r="E23" s="255">
        <v>148</v>
      </c>
      <c r="F23" s="82" t="s">
        <v>188</v>
      </c>
      <c r="G23" s="83">
        <v>0</v>
      </c>
      <c r="H23" s="84" t="s">
        <v>189</v>
      </c>
      <c r="I23" s="84">
        <v>0</v>
      </c>
      <c r="J23" s="93" t="s">
        <v>190</v>
      </c>
      <c r="K23" s="245">
        <v>7</v>
      </c>
      <c r="L23" s="242">
        <v>7</v>
      </c>
      <c r="M23" s="242">
        <v>7.5</v>
      </c>
      <c r="N23" s="242">
        <v>7.5</v>
      </c>
      <c r="O23" s="242">
        <v>7</v>
      </c>
      <c r="P23" s="242">
        <v>6.5</v>
      </c>
      <c r="Q23" s="242">
        <v>7.5</v>
      </c>
      <c r="R23" s="242">
        <v>6.5</v>
      </c>
      <c r="S23" s="246">
        <v>7</v>
      </c>
      <c r="T23" s="20"/>
      <c r="U23" s="15">
        <v>7.05</v>
      </c>
      <c r="V23" s="256">
        <v>7</v>
      </c>
      <c r="W23" s="238">
        <v>7.5</v>
      </c>
      <c r="X23" s="252">
        <v>7.5</v>
      </c>
      <c r="Y23" s="257">
        <v>8</v>
      </c>
      <c r="Z23" s="16">
        <v>7.5</v>
      </c>
      <c r="AA23" s="256">
        <v>8.5</v>
      </c>
      <c r="AB23" s="238">
        <v>7.5</v>
      </c>
      <c r="AC23" s="257">
        <v>8</v>
      </c>
      <c r="AD23" s="16">
        <v>8</v>
      </c>
      <c r="AE23" s="20"/>
      <c r="AF23" s="17">
        <v>7.425</v>
      </c>
      <c r="AG23" s="94" t="s">
        <v>23</v>
      </c>
      <c r="AH23" s="95" t="s">
        <v>185</v>
      </c>
      <c r="AI23" s="95" t="s">
        <v>186</v>
      </c>
      <c r="AJ23" s="30" t="s">
        <v>187</v>
      </c>
      <c r="AK23" s="31">
        <v>40660</v>
      </c>
      <c r="AL23" s="173" t="s">
        <v>230</v>
      </c>
    </row>
    <row r="24" spans="1:38" ht="15" customHeight="1">
      <c r="A24" s="88">
        <v>21</v>
      </c>
      <c r="B24" s="35" t="s">
        <v>191</v>
      </c>
      <c r="C24" s="36" t="s">
        <v>51</v>
      </c>
      <c r="D24" s="36" t="s">
        <v>178</v>
      </c>
      <c r="E24" s="258">
        <v>149</v>
      </c>
      <c r="F24" s="76" t="s">
        <v>194</v>
      </c>
      <c r="G24" s="77">
        <v>0</v>
      </c>
      <c r="H24" s="77" t="s">
        <v>195</v>
      </c>
      <c r="I24" s="78">
        <v>0</v>
      </c>
      <c r="J24" s="89" t="s">
        <v>234</v>
      </c>
      <c r="K24" s="237">
        <v>7</v>
      </c>
      <c r="L24" s="238">
        <v>7.5</v>
      </c>
      <c r="M24" s="238">
        <v>7</v>
      </c>
      <c r="N24" s="238">
        <v>8.5</v>
      </c>
      <c r="O24" s="238">
        <v>8</v>
      </c>
      <c r="P24" s="238">
        <v>7</v>
      </c>
      <c r="Q24" s="238">
        <v>7.5</v>
      </c>
      <c r="R24" s="238">
        <v>7.5</v>
      </c>
      <c r="S24" s="239">
        <v>7.5</v>
      </c>
      <c r="T24" s="19"/>
      <c r="U24" s="15">
        <v>7.5</v>
      </c>
      <c r="V24" s="250">
        <v>7.5</v>
      </c>
      <c r="W24" s="242">
        <v>8</v>
      </c>
      <c r="X24" s="242">
        <v>7</v>
      </c>
      <c r="Y24" s="251">
        <v>7.5</v>
      </c>
      <c r="Z24" s="16">
        <v>7.5</v>
      </c>
      <c r="AA24" s="250">
        <v>7.5</v>
      </c>
      <c r="AB24" s="242">
        <v>7</v>
      </c>
      <c r="AC24" s="251">
        <v>7.5</v>
      </c>
      <c r="AD24" s="16">
        <v>7.333333333333333</v>
      </c>
      <c r="AE24" s="19"/>
      <c r="AF24" s="17">
        <v>7.45</v>
      </c>
      <c r="AG24" s="83" t="s">
        <v>80</v>
      </c>
      <c r="AH24" s="84" t="s">
        <v>192</v>
      </c>
      <c r="AI24" s="84" t="s">
        <v>193</v>
      </c>
      <c r="AJ24" s="30" t="s">
        <v>89</v>
      </c>
      <c r="AK24" s="31">
        <v>40701</v>
      </c>
      <c r="AL24" s="173" t="s">
        <v>230</v>
      </c>
    </row>
    <row r="25" spans="1:38" ht="15" customHeight="1">
      <c r="A25" s="32">
        <v>22</v>
      </c>
      <c r="B25" s="33" t="s">
        <v>215</v>
      </c>
      <c r="C25" s="34" t="s">
        <v>51</v>
      </c>
      <c r="D25" s="34" t="s">
        <v>22</v>
      </c>
      <c r="E25" s="253">
        <v>141</v>
      </c>
      <c r="F25" s="82" t="s">
        <v>219</v>
      </c>
      <c r="G25" s="83">
        <v>0</v>
      </c>
      <c r="H25" s="84" t="s">
        <v>220</v>
      </c>
      <c r="I25" s="84">
        <v>0</v>
      </c>
      <c r="J25" s="90" t="s">
        <v>221</v>
      </c>
      <c r="K25" s="245">
        <v>7.5</v>
      </c>
      <c r="L25" s="242">
        <v>6</v>
      </c>
      <c r="M25" s="242">
        <v>6.5</v>
      </c>
      <c r="N25" s="242">
        <v>7.5</v>
      </c>
      <c r="O25" s="242">
        <v>7.5</v>
      </c>
      <c r="P25" s="242">
        <v>7</v>
      </c>
      <c r="Q25" s="242">
        <v>7</v>
      </c>
      <c r="R25" s="242">
        <v>6</v>
      </c>
      <c r="S25" s="246">
        <v>6.5</v>
      </c>
      <c r="T25" s="18"/>
      <c r="U25" s="15">
        <v>6.8</v>
      </c>
      <c r="V25" s="247">
        <v>6</v>
      </c>
      <c r="W25" s="238">
        <v>7</v>
      </c>
      <c r="X25" s="238">
        <v>6.5</v>
      </c>
      <c r="Y25" s="248">
        <v>7</v>
      </c>
      <c r="Z25" s="16">
        <v>6.625</v>
      </c>
      <c r="AA25" s="247">
        <v>7</v>
      </c>
      <c r="AB25" s="238">
        <v>7</v>
      </c>
      <c r="AC25" s="248">
        <v>6</v>
      </c>
      <c r="AD25" s="16">
        <v>6.666666666666667</v>
      </c>
      <c r="AE25" s="18"/>
      <c r="AF25" s="17">
        <v>6.725</v>
      </c>
      <c r="AG25" s="86" t="s">
        <v>23</v>
      </c>
      <c r="AH25" s="87" t="s">
        <v>216</v>
      </c>
      <c r="AI25" s="87" t="s">
        <v>217</v>
      </c>
      <c r="AJ25" s="30" t="s">
        <v>218</v>
      </c>
      <c r="AK25" s="31">
        <v>40655</v>
      </c>
      <c r="AL25" s="173" t="s">
        <v>230</v>
      </c>
    </row>
    <row r="26" spans="1:38" ht="15" customHeight="1">
      <c r="A26" s="88">
        <v>23</v>
      </c>
      <c r="B26" s="35" t="s">
        <v>222</v>
      </c>
      <c r="C26" s="36" t="s">
        <v>231</v>
      </c>
      <c r="D26" s="36" t="s">
        <v>21</v>
      </c>
      <c r="E26" s="249">
        <v>153</v>
      </c>
      <c r="F26" s="76" t="s">
        <v>201</v>
      </c>
      <c r="G26" s="77">
        <v>0</v>
      </c>
      <c r="H26" s="77" t="s">
        <v>226</v>
      </c>
      <c r="I26" s="78">
        <v>0</v>
      </c>
      <c r="J26" s="89" t="s">
        <v>203</v>
      </c>
      <c r="K26" s="237">
        <v>6</v>
      </c>
      <c r="L26" s="238">
        <v>6.5</v>
      </c>
      <c r="M26" s="238">
        <v>6</v>
      </c>
      <c r="N26" s="238">
        <v>6.5</v>
      </c>
      <c r="O26" s="238">
        <v>7</v>
      </c>
      <c r="P26" s="238">
        <v>5</v>
      </c>
      <c r="Q26" s="238">
        <v>6</v>
      </c>
      <c r="R26" s="238">
        <v>6</v>
      </c>
      <c r="S26" s="239">
        <v>6</v>
      </c>
      <c r="T26" s="19"/>
      <c r="U26" s="15">
        <v>6.1</v>
      </c>
      <c r="V26" s="250">
        <v>6</v>
      </c>
      <c r="W26" s="242">
        <v>6</v>
      </c>
      <c r="X26" s="242">
        <v>6</v>
      </c>
      <c r="Y26" s="251">
        <v>6.5</v>
      </c>
      <c r="Z26" s="16">
        <v>6.125</v>
      </c>
      <c r="AA26" s="250">
        <v>5.5</v>
      </c>
      <c r="AB26" s="242">
        <v>6</v>
      </c>
      <c r="AC26" s="251">
        <v>6</v>
      </c>
      <c r="AD26" s="16">
        <v>5.833333333333333</v>
      </c>
      <c r="AE26" s="19"/>
      <c r="AF26" s="17">
        <v>6.025</v>
      </c>
      <c r="AG26" s="83" t="s">
        <v>23</v>
      </c>
      <c r="AH26" s="84" t="s">
        <v>223</v>
      </c>
      <c r="AI26" s="84" t="s">
        <v>224</v>
      </c>
      <c r="AJ26" s="30" t="s">
        <v>225</v>
      </c>
      <c r="AK26" s="31">
        <v>40628</v>
      </c>
      <c r="AL26" s="173" t="s">
        <v>228</v>
      </c>
    </row>
  </sheetData>
  <sheetProtection password="CCEF" sheet="1" objects="1" scenarios="1" formatCells="0" selectLockedCells="1"/>
  <mergeCells count="12">
    <mergeCell ref="AA2:AD2"/>
    <mergeCell ref="AE2:AF2"/>
    <mergeCell ref="AG1:AI1"/>
    <mergeCell ref="A2:E2"/>
    <mergeCell ref="F2:J2"/>
    <mergeCell ref="C1:E1"/>
    <mergeCell ref="K1:P1"/>
    <mergeCell ref="Q1:Z1"/>
    <mergeCell ref="AA1:AF1"/>
    <mergeCell ref="K2:U2"/>
    <mergeCell ref="V2:Z2"/>
    <mergeCell ref="AG2:AI2"/>
  </mergeCells>
  <dataValidations count="3">
    <dataValidation type="decimal" allowBlank="1" showErrorMessage="1" sqref="K4:S26 V4:Y26 K3 AA4:AC26">
      <formula1>0</formula1>
      <formula2>10</formula2>
    </dataValidation>
    <dataValidation type="list" allowBlank="1" showErrorMessage="1" sqref="E3">
      <formula1>$Q$1:$Q$5</formula1>
      <formula2>0</formula2>
    </dataValidation>
    <dataValidation type="whole" allowBlank="1" showInputMessage="1" showErrorMessage="1" sqref="T1:T65536 AE1:AE65536">
      <formula1>-1</formula1>
      <formula2>1</formula2>
    </dataValidation>
  </dataValidations>
  <printOptions horizontalCentered="1"/>
  <pageMargins left="0.7874015748031497" right="0.7874015748031497" top="0.5118110236220472" bottom="0.6299212598425197" header="0.5118110236220472" footer="0.3937007874015748"/>
  <pageSetup fitToHeight="2" fitToWidth="1" horizontalDpi="300" verticalDpi="300" orientation="landscape" pageOrder="overThenDown" paperSize="9" scale="59" r:id="rId4"/>
  <headerFooter alignWithMargins="0">
    <oddFooter>&amp;RConcours -ONP- M et A Poneys de 3 ans &amp;P/&amp;"/,Normal"&amp;N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5"/>
  <sheetViews>
    <sheetView tabSelected="1" zoomScale="75" zoomScaleNormal="75" zoomScalePageLayoutView="0" workbookViewId="0" topLeftCell="A1">
      <pane ySplit="3" topLeftCell="BM4" activePane="bottomLeft" state="frozen"/>
      <selection pane="topLeft" activeCell="A31" sqref="A31:IV31"/>
      <selection pane="bottomLeft" activeCell="F2" sqref="F2:K2"/>
    </sheetView>
  </sheetViews>
  <sheetFormatPr defaultColWidth="10.00390625" defaultRowHeight="15"/>
  <cols>
    <col min="1" max="1" width="9.625" style="46" bestFit="1" customWidth="1"/>
    <col min="2" max="2" width="5.75390625" style="62" customWidth="1"/>
    <col min="3" max="3" width="9.625" style="62" hidden="1" customWidth="1"/>
    <col min="4" max="4" width="9.625" style="46" customWidth="1"/>
    <col min="5" max="5" width="0" style="46" hidden="1" customWidth="1"/>
    <col min="6" max="6" width="4.875" style="46" customWidth="1"/>
    <col min="7" max="7" width="23.125" style="46" bestFit="1" customWidth="1"/>
    <col min="8" max="11" width="4.75390625" style="46" bestFit="1" customWidth="1"/>
    <col min="12" max="12" width="3.375" style="46" hidden="1" customWidth="1"/>
    <col min="13" max="13" width="30.625" style="46" bestFit="1" customWidth="1"/>
    <col min="14" max="14" width="31.75390625" style="46" bestFit="1" customWidth="1"/>
    <col min="15" max="15" width="30.375" style="46" bestFit="1" customWidth="1"/>
    <col min="16" max="16" width="7.875" style="161" bestFit="1" customWidth="1"/>
    <col min="17" max="30" width="10.00390625" style="45" customWidth="1"/>
    <col min="31" max="16384" width="10.00390625" style="46" customWidth="1"/>
  </cols>
  <sheetData>
    <row r="1" spans="1:15" ht="17.25" thickBot="1">
      <c r="A1" s="38" t="str">
        <f>+Notes3A!K1</f>
        <v>MONTES</v>
      </c>
      <c r="B1" s="68" t="str">
        <f>+Notes3A!B1</f>
        <v>LOCAL</v>
      </c>
      <c r="C1" s="98" t="str">
        <f>+Notes3A!$Q$1</f>
        <v>LE PIN AU HARAS</v>
      </c>
      <c r="D1" s="98" t="str">
        <f>+Notes3A!Q1</f>
        <v>LE PIN AU HARAS</v>
      </c>
      <c r="E1" s="99"/>
      <c r="F1" s="100"/>
      <c r="G1" s="39">
        <f>+Notes3A!AA1</f>
        <v>41783</v>
      </c>
      <c r="H1" s="39"/>
      <c r="I1" s="200"/>
      <c r="J1" s="200"/>
      <c r="K1" s="201"/>
      <c r="L1" s="40"/>
      <c r="M1" s="41" t="s">
        <v>62</v>
      </c>
      <c r="N1" s="42" t="s">
        <v>63</v>
      </c>
      <c r="O1" s="43" t="s">
        <v>60</v>
      </c>
    </row>
    <row r="2" spans="1:15" ht="17.25" thickBot="1">
      <c r="A2" s="176" t="s">
        <v>64</v>
      </c>
      <c r="B2" s="177"/>
      <c r="C2" s="177"/>
      <c r="D2" s="177"/>
      <c r="E2" s="47"/>
      <c r="F2" s="202" t="s">
        <v>65</v>
      </c>
      <c r="G2" s="203"/>
      <c r="H2" s="203"/>
      <c r="I2" s="203"/>
      <c r="J2" s="203"/>
      <c r="K2" s="204"/>
      <c r="M2" s="199" t="s">
        <v>66</v>
      </c>
      <c r="N2" s="199"/>
      <c r="O2" s="199"/>
    </row>
    <row r="3" spans="1:16" ht="98.25" thickBot="1" thickTop="1">
      <c r="A3" s="178" t="s">
        <v>26</v>
      </c>
      <c r="B3" s="179" t="s">
        <v>1</v>
      </c>
      <c r="C3" s="154" t="s">
        <v>39</v>
      </c>
      <c r="D3" s="178" t="s">
        <v>25</v>
      </c>
      <c r="E3" s="48" t="s">
        <v>24</v>
      </c>
      <c r="F3" s="49" t="s">
        <v>68</v>
      </c>
      <c r="G3" s="101" t="s">
        <v>11</v>
      </c>
      <c r="H3" s="102" t="s">
        <v>12</v>
      </c>
      <c r="I3" s="103" t="s">
        <v>69</v>
      </c>
      <c r="J3" s="103" t="s">
        <v>70</v>
      </c>
      <c r="K3" s="104" t="s">
        <v>71</v>
      </c>
      <c r="L3" s="51" t="s">
        <v>64</v>
      </c>
      <c r="M3" s="50" t="s">
        <v>105</v>
      </c>
      <c r="N3" s="105" t="s">
        <v>72</v>
      </c>
      <c r="O3" s="106" t="s">
        <v>73</v>
      </c>
      <c r="P3" s="175"/>
    </row>
    <row r="4" spans="1:16" ht="15">
      <c r="A4" s="52" t="s">
        <v>90</v>
      </c>
      <c r="B4" s="147">
        <v>6.825</v>
      </c>
      <c r="C4" s="147">
        <v>7.2</v>
      </c>
      <c r="D4" s="52">
        <v>1</v>
      </c>
      <c r="E4" s="53">
        <v>1</v>
      </c>
      <c r="F4" s="54">
        <f aca="true" t="shared" si="0" ref="F4:F25">IF($D4="","",IF(A4="",IF(B4="",+F3,L4),L4))</f>
        <v>1</v>
      </c>
      <c r="G4" s="55" t="str">
        <f aca="true" t="shared" si="1" ref="G4:G25">IF($D4="","",VLOOKUP($D4,Liste_3_ans,2))</f>
        <v>BYE BYE PARIS LE SAGE</v>
      </c>
      <c r="H4" s="55" t="str">
        <f aca="true" t="shared" si="2" ref="H4:H25">IF($D4="","",VLOOKUP($D4,Liste_3_ans,4))</f>
        <v>DA</v>
      </c>
      <c r="I4" s="107">
        <f aca="true" t="shared" si="3" ref="I4:I25">IF($D4="","",VLOOKUP($D4,Liste_3_ans,21))</f>
        <v>7.2</v>
      </c>
      <c r="J4" s="107">
        <f aca="true" t="shared" si="4" ref="J4:J25">IF($D4="","",VLOOKUP($D4,Liste_3_ans,26))</f>
        <v>6.375</v>
      </c>
      <c r="K4" s="108">
        <f aca="true" t="shared" si="5" ref="K4:K25">IF($D4="","",VLOOKUP($D4,Liste_3_ans,30))</f>
        <v>6.5</v>
      </c>
      <c r="L4" s="56">
        <f aca="true" t="shared" si="6" ref="L4:L25">IF(A4="",1+L3,1)</f>
        <v>1</v>
      </c>
      <c r="M4" s="55" t="str">
        <f aca="true" t="shared" si="7" ref="M4:M25">IF($D4="","",VLOOKUP($D4,Liste_3_ans,6))</f>
        <v>MME MELANIE VIVANT
61170 ST JULIEN SUR SARTHE</v>
      </c>
      <c r="N4" s="57" t="str">
        <f aca="true" t="shared" si="8" ref="N4:N25">IF($D4="","",VLOOKUP($D4,Liste_3_ans,34))</f>
        <v>SHERBERTON BAILEYS (GB) DA</v>
      </c>
      <c r="O4" s="58" t="str">
        <f aca="true" t="shared" si="9" ref="O4:O25">IF($D4="","",VLOOKUP($D4,Liste_3_ans,35))</f>
        <v>TULIPE DU BOCAGE (FR) DA</v>
      </c>
      <c r="P4" s="174" t="str">
        <f aca="true" t="shared" si="10" ref="P4:P25">IF($D4="","",VLOOKUP($D4,Liste_3_ans,38))</f>
        <v>A Vendre</v>
      </c>
    </row>
    <row r="5" spans="1:16" ht="15">
      <c r="A5" s="52" t="s">
        <v>229</v>
      </c>
      <c r="B5" s="147">
        <v>6.65</v>
      </c>
      <c r="C5" s="147">
        <v>7.1</v>
      </c>
      <c r="D5" s="52">
        <v>2</v>
      </c>
      <c r="E5" s="53">
        <v>2</v>
      </c>
      <c r="F5" s="54">
        <f t="shared" si="0"/>
        <v>1</v>
      </c>
      <c r="G5" s="55" t="str">
        <f t="shared" si="1"/>
        <v>BENEF DES BRIMBELLES</v>
      </c>
      <c r="H5" s="55" t="str">
        <f t="shared" si="2"/>
        <v>PFS</v>
      </c>
      <c r="I5" s="107">
        <f t="shared" si="3"/>
        <v>7.1</v>
      </c>
      <c r="J5" s="107">
        <f t="shared" si="4"/>
        <v>7</v>
      </c>
      <c r="K5" s="108">
        <f t="shared" si="5"/>
        <v>5.666666666666667</v>
      </c>
      <c r="L5" s="56">
        <f t="shared" si="6"/>
        <v>1</v>
      </c>
      <c r="M5" s="55" t="str">
        <f t="shared" si="7"/>
        <v>M. JEAN-CHARLES THIBAUT
61230 MARDILLY</v>
      </c>
      <c r="N5" s="57" t="str">
        <f t="shared" si="8"/>
        <v>POETIC JUSTICE (IE) CO</v>
      </c>
      <c r="O5" s="58" t="str">
        <f t="shared" si="9"/>
        <v>O'FOLLE D'HARYNS (FR) PFS</v>
      </c>
      <c r="P5" s="174">
        <f t="shared" si="10"/>
      </c>
    </row>
    <row r="6" spans="1:16" ht="15">
      <c r="A6" s="52" t="s">
        <v>52</v>
      </c>
      <c r="B6" s="147">
        <v>7.8</v>
      </c>
      <c r="C6" s="147">
        <v>7.8</v>
      </c>
      <c r="D6" s="52">
        <v>3</v>
      </c>
      <c r="E6" s="53">
        <v>3</v>
      </c>
      <c r="F6" s="54">
        <f t="shared" si="0"/>
        <v>1</v>
      </c>
      <c r="G6" s="55" t="str">
        <f t="shared" si="1"/>
        <v>BOOSTER DE LA CROIX</v>
      </c>
      <c r="H6" s="55" t="str">
        <f t="shared" si="2"/>
        <v>PFS</v>
      </c>
      <c r="I6" s="107">
        <f t="shared" si="3"/>
        <v>7.8</v>
      </c>
      <c r="J6" s="107">
        <f t="shared" si="4"/>
        <v>8</v>
      </c>
      <c r="K6" s="108">
        <f t="shared" si="5"/>
        <v>7.666666666666667</v>
      </c>
      <c r="L6" s="56">
        <f t="shared" si="6"/>
        <v>1</v>
      </c>
      <c r="M6" s="55" t="str">
        <f t="shared" si="7"/>
        <v>DR.V MATHILDE LESOUEF
14800 BONNEVILLE SUR TOUQUES</v>
      </c>
      <c r="N6" s="57" t="str">
        <f t="shared" si="8"/>
        <v>KANTJE'S RONALDO (NL) NF</v>
      </c>
      <c r="O6" s="58" t="str">
        <f t="shared" si="9"/>
        <v>DAMIETTE (FR) PFS</v>
      </c>
      <c r="P6" s="174" t="str">
        <f t="shared" si="10"/>
        <v>A Vendre</v>
      </c>
    </row>
    <row r="7" spans="1:16" ht="15">
      <c r="A7" s="59"/>
      <c r="B7" s="147">
        <v>7.45</v>
      </c>
      <c r="C7" s="147">
        <v>7.65</v>
      </c>
      <c r="D7" s="52">
        <v>7</v>
      </c>
      <c r="E7" s="53">
        <v>7</v>
      </c>
      <c r="F7" s="54">
        <f t="shared" si="0"/>
        <v>2</v>
      </c>
      <c r="G7" s="55" t="str">
        <f t="shared" si="1"/>
        <v>BLACK SWAN DU BUHOT</v>
      </c>
      <c r="H7" s="55" t="str">
        <f t="shared" si="2"/>
        <v>OC</v>
      </c>
      <c r="I7" s="107">
        <f t="shared" si="3"/>
        <v>7.65</v>
      </c>
      <c r="J7" s="107">
        <f t="shared" si="4"/>
        <v>6.375</v>
      </c>
      <c r="K7" s="108">
        <f t="shared" si="5"/>
        <v>7.833333333333333</v>
      </c>
      <c r="L7" s="56">
        <f t="shared" si="6"/>
        <v>2</v>
      </c>
      <c r="M7" s="55" t="str">
        <f t="shared" si="7"/>
        <v>MME MARIE-CHRISTINE LESTELLE
14710 FORMIGNY</v>
      </c>
      <c r="N7" s="57" t="str">
        <f t="shared" si="8"/>
        <v>HASTING DU BUHOT (FR) CO</v>
      </c>
      <c r="O7" s="58" t="str">
        <f t="shared" si="9"/>
        <v>EMERAUDE DU PAING (FR) PFS</v>
      </c>
      <c r="P7" s="174">
        <f t="shared" si="10"/>
      </c>
    </row>
    <row r="8" spans="1:16" ht="15">
      <c r="A8" s="59"/>
      <c r="B8" s="147">
        <v>7.425</v>
      </c>
      <c r="C8" s="147">
        <v>7.45</v>
      </c>
      <c r="D8" s="52">
        <v>9</v>
      </c>
      <c r="E8" s="53">
        <v>9</v>
      </c>
      <c r="F8" s="54">
        <f t="shared" si="0"/>
        <v>3</v>
      </c>
      <c r="G8" s="55" t="str">
        <f t="shared" si="1"/>
        <v>BALDUR D'ORLOV</v>
      </c>
      <c r="H8" s="55" t="str">
        <f t="shared" si="2"/>
        <v>PFS</v>
      </c>
      <c r="I8" s="107">
        <f t="shared" si="3"/>
        <v>7.45</v>
      </c>
      <c r="J8" s="107">
        <f t="shared" si="4"/>
        <v>7.25</v>
      </c>
      <c r="K8" s="108">
        <f t="shared" si="5"/>
        <v>7.5</v>
      </c>
      <c r="L8" s="56">
        <f t="shared" si="6"/>
        <v>3</v>
      </c>
      <c r="M8" s="55" t="str">
        <f t="shared" si="7"/>
        <v>M. PHILIPPE CHENOT
61440 MESSEI</v>
      </c>
      <c r="N8" s="57" t="str">
        <f t="shared" si="8"/>
        <v>RAMBO (NL) NF</v>
      </c>
      <c r="O8" s="58" t="str">
        <f t="shared" si="9"/>
        <v>HIOWA D'ORLOV (FR) PO</v>
      </c>
      <c r="P8" s="174">
        <f t="shared" si="10"/>
      </c>
    </row>
    <row r="9" spans="1:16" ht="15">
      <c r="A9" s="59"/>
      <c r="B9" s="147">
        <v>7.375</v>
      </c>
      <c r="C9" s="147">
        <v>7.4</v>
      </c>
      <c r="D9" s="52">
        <v>6</v>
      </c>
      <c r="E9" s="53">
        <v>6</v>
      </c>
      <c r="F9" s="54">
        <f t="shared" si="0"/>
        <v>4</v>
      </c>
      <c r="G9" s="55" t="str">
        <f t="shared" si="1"/>
        <v>BOOMERANG RISLOIS</v>
      </c>
      <c r="H9" s="55" t="str">
        <f t="shared" si="2"/>
        <v>PFS</v>
      </c>
      <c r="I9" s="107">
        <f t="shared" si="3"/>
        <v>7.4</v>
      </c>
      <c r="J9" s="107">
        <f t="shared" si="4"/>
        <v>6.875</v>
      </c>
      <c r="K9" s="108">
        <f t="shared" si="5"/>
        <v>7.666666666666667</v>
      </c>
      <c r="L9" s="56">
        <f t="shared" si="6"/>
        <v>4</v>
      </c>
      <c r="M9" s="55" t="str">
        <f t="shared" si="7"/>
        <v>M. ARNAUD BONVALET
27170 BEAUMONTEL</v>
      </c>
      <c r="N9" s="57" t="str">
        <f t="shared" si="8"/>
        <v>PEPS DOMAIN (FR) PFS</v>
      </c>
      <c r="O9" s="58" t="str">
        <f t="shared" si="9"/>
        <v>FOUDRE DU BASBERG (FR) PFS</v>
      </c>
      <c r="P9" s="174" t="str">
        <f t="shared" si="10"/>
        <v>A Vendre</v>
      </c>
    </row>
    <row r="10" spans="1:16" ht="15">
      <c r="A10" s="59"/>
      <c r="B10" s="147">
        <v>7.35</v>
      </c>
      <c r="C10" s="147">
        <v>7.6</v>
      </c>
      <c r="D10" s="52">
        <v>4</v>
      </c>
      <c r="E10" s="53">
        <v>4</v>
      </c>
      <c r="F10" s="54">
        <f t="shared" si="0"/>
        <v>5</v>
      </c>
      <c r="G10" s="55" t="str">
        <f t="shared" si="1"/>
        <v>BOSTON DES LONDES</v>
      </c>
      <c r="H10" s="55" t="str">
        <f t="shared" si="2"/>
        <v>PFS</v>
      </c>
      <c r="I10" s="107">
        <f t="shared" si="3"/>
        <v>7.6</v>
      </c>
      <c r="J10" s="107">
        <f t="shared" si="4"/>
        <v>6.5</v>
      </c>
      <c r="K10" s="108">
        <f t="shared" si="5"/>
        <v>7.5</v>
      </c>
      <c r="L10" s="56">
        <f t="shared" si="6"/>
        <v>5</v>
      </c>
      <c r="M10" s="55" t="str">
        <f t="shared" si="7"/>
        <v>M. LAURENT LE TOURNEUR
14400 TOUR EN BESSIN</v>
      </c>
      <c r="N10" s="57" t="str">
        <f t="shared" si="8"/>
        <v>GOLIATH DES LONDES (FR) PFS</v>
      </c>
      <c r="O10" s="58" t="str">
        <f t="shared" si="9"/>
        <v>INDIANAPOLIS II (FR) SFA</v>
      </c>
      <c r="P10" s="174">
        <f t="shared" si="10"/>
      </c>
    </row>
    <row r="11" spans="1:16" ht="15">
      <c r="A11" s="59"/>
      <c r="B11" s="147">
        <v>7.325</v>
      </c>
      <c r="C11" s="147">
        <v>7.35</v>
      </c>
      <c r="D11" s="52">
        <v>11</v>
      </c>
      <c r="E11" s="53">
        <v>11</v>
      </c>
      <c r="F11" s="54">
        <f t="shared" si="0"/>
        <v>6</v>
      </c>
      <c r="G11" s="55" t="str">
        <f t="shared" si="1"/>
        <v>BLUE JEANS</v>
      </c>
      <c r="H11" s="55" t="str">
        <f t="shared" si="2"/>
        <v>PFS</v>
      </c>
      <c r="I11" s="107">
        <f t="shared" si="3"/>
        <v>7.35</v>
      </c>
      <c r="J11" s="107">
        <f t="shared" si="4"/>
        <v>8</v>
      </c>
      <c r="K11" s="108">
        <f t="shared" si="5"/>
        <v>6.833333333333333</v>
      </c>
      <c r="L11" s="56">
        <f t="shared" si="6"/>
        <v>6</v>
      </c>
      <c r="M11" s="55" t="str">
        <f t="shared" si="7"/>
        <v>MLLE FRANCOISE DUVAL
27250 CHERONVILLIERS</v>
      </c>
      <c r="N11" s="57" t="str">
        <f t="shared" si="8"/>
        <v>MIRIEJANS J R (NL) NF</v>
      </c>
      <c r="O11" s="58" t="str">
        <f t="shared" si="9"/>
        <v>GAZELLE DE TYV (FR) PFS</v>
      </c>
      <c r="P11" s="174" t="str">
        <f t="shared" si="10"/>
        <v>A Vendre</v>
      </c>
    </row>
    <row r="12" spans="1:16" ht="15">
      <c r="A12" s="59"/>
      <c r="B12" s="147">
        <v>7.125</v>
      </c>
      <c r="C12" s="147">
        <v>7.25</v>
      </c>
      <c r="D12" s="52">
        <v>8</v>
      </c>
      <c r="E12" s="53">
        <v>8</v>
      </c>
      <c r="F12" s="54">
        <f t="shared" si="0"/>
        <v>7</v>
      </c>
      <c r="G12" s="55" t="str">
        <f t="shared" si="1"/>
        <v>BORGUND D'ORLOV</v>
      </c>
      <c r="H12" s="55" t="str">
        <f t="shared" si="2"/>
        <v>OC</v>
      </c>
      <c r="I12" s="107">
        <f t="shared" si="3"/>
        <v>7.25</v>
      </c>
      <c r="J12" s="107">
        <f t="shared" si="4"/>
        <v>6.25</v>
      </c>
      <c r="K12" s="108">
        <f t="shared" si="5"/>
        <v>7.5</v>
      </c>
      <c r="L12" s="56">
        <f t="shared" si="6"/>
        <v>7</v>
      </c>
      <c r="M12" s="55" t="str">
        <f t="shared" si="7"/>
        <v>M. PHILIPPE CHENOT
61440 MESSEI</v>
      </c>
      <c r="N12" s="57" t="str">
        <f t="shared" si="8"/>
        <v>GALA DE MONTIEGE (FR) PFS</v>
      </c>
      <c r="O12" s="58" t="str">
        <f t="shared" si="9"/>
        <v>TYNWALD D'ORLOV (FR) SFB</v>
      </c>
      <c r="P12" s="174">
        <f t="shared" si="10"/>
      </c>
    </row>
    <row r="13" spans="1:16" ht="15">
      <c r="A13" s="59"/>
      <c r="B13" s="147">
        <v>6.95</v>
      </c>
      <c r="C13" s="147">
        <v>7.15</v>
      </c>
      <c r="D13" s="52">
        <v>10</v>
      </c>
      <c r="E13" s="53">
        <v>10</v>
      </c>
      <c r="F13" s="54">
        <f t="shared" si="0"/>
        <v>8</v>
      </c>
      <c r="G13" s="55" t="str">
        <f t="shared" si="1"/>
        <v>BEN DE VILLEE</v>
      </c>
      <c r="H13" s="55" t="str">
        <f t="shared" si="2"/>
        <v>PFS</v>
      </c>
      <c r="I13" s="107">
        <f t="shared" si="3"/>
        <v>7.15</v>
      </c>
      <c r="J13" s="107">
        <f t="shared" si="4"/>
        <v>6.625</v>
      </c>
      <c r="K13" s="108">
        <f t="shared" si="5"/>
        <v>6.833333333333333</v>
      </c>
      <c r="L13" s="56">
        <f t="shared" si="6"/>
        <v>8</v>
      </c>
      <c r="M13" s="55" t="str">
        <f t="shared" si="7"/>
        <v>M. CONSTANT SERUSIER
72110 NOGENT LE BERNARD</v>
      </c>
      <c r="N13" s="57" t="str">
        <f t="shared" si="8"/>
        <v>EMIR DE VILLEE (FR) PFS</v>
      </c>
      <c r="O13" s="58" t="str">
        <f t="shared" si="9"/>
        <v>QUENELLE DES HULAIS (FR) PFS</v>
      </c>
      <c r="P13" s="174">
        <f t="shared" si="10"/>
      </c>
    </row>
    <row r="14" spans="1:16" ht="15">
      <c r="A14" s="59"/>
      <c r="B14" s="147">
        <v>6.825</v>
      </c>
      <c r="C14" s="147">
        <v>7.05</v>
      </c>
      <c r="D14" s="52">
        <v>5</v>
      </c>
      <c r="E14" s="53">
        <v>5</v>
      </c>
      <c r="F14" s="54">
        <f t="shared" si="0"/>
        <v>9</v>
      </c>
      <c r="G14" s="55" t="str">
        <f t="shared" si="1"/>
        <v>BJORKO D'ORLOV</v>
      </c>
      <c r="H14" s="55" t="str">
        <f t="shared" si="2"/>
        <v>PFS</v>
      </c>
      <c r="I14" s="107">
        <f t="shared" si="3"/>
        <v>7.05</v>
      </c>
      <c r="J14" s="107">
        <f t="shared" si="4"/>
        <v>7</v>
      </c>
      <c r="K14" s="108">
        <f t="shared" si="5"/>
        <v>6.333333333333333</v>
      </c>
      <c r="L14" s="56">
        <f t="shared" si="6"/>
        <v>9</v>
      </c>
      <c r="M14" s="55" t="str">
        <f t="shared" si="7"/>
        <v>M. PHILIPPE CHENOT
61440 MESSEI</v>
      </c>
      <c r="N14" s="57" t="str">
        <f t="shared" si="8"/>
        <v>GALA DE MONTIEGE (FR) PFS</v>
      </c>
      <c r="O14" s="58" t="str">
        <f t="shared" si="9"/>
        <v>LIBELLUNE DE PARIGNY (FR) PFS</v>
      </c>
      <c r="P14" s="174">
        <f t="shared" si="10"/>
      </c>
    </row>
    <row r="15" spans="1:16" ht="15">
      <c r="A15" s="52" t="s">
        <v>53</v>
      </c>
      <c r="B15" s="147">
        <v>7.025</v>
      </c>
      <c r="C15" s="147">
        <v>6.95</v>
      </c>
      <c r="D15" s="52">
        <v>13</v>
      </c>
      <c r="E15" s="53">
        <v>13</v>
      </c>
      <c r="F15" s="54">
        <f t="shared" si="0"/>
        <v>1</v>
      </c>
      <c r="G15" s="55" t="str">
        <f t="shared" si="1"/>
        <v>BE ICONIC SQUARE</v>
      </c>
      <c r="H15" s="55" t="str">
        <f t="shared" si="2"/>
        <v>DA</v>
      </c>
      <c r="I15" s="107">
        <f t="shared" si="3"/>
        <v>6.95</v>
      </c>
      <c r="J15" s="107">
        <f t="shared" si="4"/>
        <v>7.5</v>
      </c>
      <c r="K15" s="108">
        <f t="shared" si="5"/>
        <v>6.833333333333333</v>
      </c>
      <c r="L15" s="56">
        <f t="shared" si="6"/>
        <v>1</v>
      </c>
      <c r="M15" s="55" t="str">
        <f t="shared" si="7"/>
        <v>MME AGNES BUISINE
61230 MARDILLY</v>
      </c>
      <c r="N15" s="57" t="str">
        <f t="shared" si="8"/>
        <v>SHERBERTON BAILEYS (GB) DA</v>
      </c>
      <c r="O15" s="58" t="str">
        <f t="shared" si="9"/>
        <v>PLOVERS COCKLESHELL (GB) DA</v>
      </c>
      <c r="P15" s="174">
        <f t="shared" si="10"/>
      </c>
    </row>
    <row r="16" spans="1:16" ht="15">
      <c r="A16" s="59"/>
      <c r="B16" s="147">
        <v>6.75</v>
      </c>
      <c r="C16" s="147">
        <v>6.85</v>
      </c>
      <c r="D16" s="52">
        <v>14</v>
      </c>
      <c r="E16" s="53">
        <v>14</v>
      </c>
      <c r="F16" s="54">
        <f t="shared" si="0"/>
        <v>2</v>
      </c>
      <c r="G16" s="55" t="str">
        <f t="shared" si="1"/>
        <v>BE A TEA ADDICT SQUAR</v>
      </c>
      <c r="H16" s="55" t="str">
        <f t="shared" si="2"/>
        <v>DA</v>
      </c>
      <c r="I16" s="107">
        <f t="shared" si="3"/>
        <v>6.85</v>
      </c>
      <c r="J16" s="107">
        <f t="shared" si="4"/>
        <v>6.625</v>
      </c>
      <c r="K16" s="108">
        <f t="shared" si="5"/>
        <v>6.666666666666667</v>
      </c>
      <c r="L16" s="56">
        <f t="shared" si="6"/>
        <v>2</v>
      </c>
      <c r="M16" s="55" t="str">
        <f t="shared" si="7"/>
        <v>MME AGNES BUISINE
61230 MARDILLY</v>
      </c>
      <c r="N16" s="57" t="str">
        <f t="shared" si="8"/>
        <v>SHERBERTON BAILEYS (GB) DA</v>
      </c>
      <c r="O16" s="58" t="str">
        <f t="shared" si="9"/>
        <v>LILY DE VALLEY SQUARE (FR) DA</v>
      </c>
      <c r="P16" s="174">
        <f t="shared" si="10"/>
      </c>
    </row>
    <row r="17" spans="1:30" ht="15">
      <c r="A17" s="59"/>
      <c r="B17" s="147">
        <v>6.65</v>
      </c>
      <c r="C17" s="147">
        <v>6.85</v>
      </c>
      <c r="D17" s="52">
        <v>12</v>
      </c>
      <c r="E17" s="53">
        <v>12</v>
      </c>
      <c r="F17" s="54">
        <f t="shared" si="0"/>
        <v>3</v>
      </c>
      <c r="G17" s="55" t="str">
        <f t="shared" si="1"/>
        <v>BIRTHDAY PARTY SQUARE</v>
      </c>
      <c r="H17" s="55" t="str">
        <f t="shared" si="2"/>
        <v>DA</v>
      </c>
      <c r="I17" s="107">
        <f t="shared" si="3"/>
        <v>6.85</v>
      </c>
      <c r="J17" s="107">
        <f t="shared" si="4"/>
        <v>6.375</v>
      </c>
      <c r="K17" s="108">
        <f t="shared" si="5"/>
        <v>6.5</v>
      </c>
      <c r="L17" s="56">
        <f t="shared" si="6"/>
        <v>3</v>
      </c>
      <c r="M17" s="55" t="str">
        <f t="shared" si="7"/>
        <v>MME AGNES BUISINE
61230 MARDILLY</v>
      </c>
      <c r="N17" s="57" t="str">
        <f t="shared" si="8"/>
        <v>SHERBERTON BAILEYS (GB) DA</v>
      </c>
      <c r="O17" s="58" t="str">
        <f t="shared" si="9"/>
        <v>VIVA LES PLATANE (FR) DA</v>
      </c>
      <c r="P17" s="174">
        <f t="shared" si="10"/>
      </c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</row>
    <row r="18" spans="1:16" ht="15">
      <c r="A18" s="52" t="s">
        <v>231</v>
      </c>
      <c r="B18" s="147">
        <v>6.025</v>
      </c>
      <c r="C18" s="147">
        <v>6.1</v>
      </c>
      <c r="D18" s="52">
        <v>23</v>
      </c>
      <c r="E18" s="53">
        <v>23</v>
      </c>
      <c r="F18" s="54">
        <f t="shared" si="0"/>
        <v>1</v>
      </c>
      <c r="G18" s="55" t="str">
        <f t="shared" si="1"/>
        <v>BRIMBELLE DE CAZALS</v>
      </c>
      <c r="H18" s="55" t="str">
        <f t="shared" si="2"/>
        <v>OC</v>
      </c>
      <c r="I18" s="107">
        <f t="shared" si="3"/>
        <v>6.1</v>
      </c>
      <c r="J18" s="107">
        <f t="shared" si="4"/>
        <v>6.125</v>
      </c>
      <c r="K18" s="108">
        <f t="shared" si="5"/>
        <v>5.833333333333333</v>
      </c>
      <c r="L18" s="56">
        <f t="shared" si="6"/>
        <v>1</v>
      </c>
      <c r="M18" s="55" t="str">
        <f t="shared" si="7"/>
        <v>M. ARNAUD BONVALET
27170 BEAUMONTEL</v>
      </c>
      <c r="N18" s="57" t="str">
        <f t="shared" si="8"/>
        <v>THUNDER DU BLIN (FR) CO</v>
      </c>
      <c r="O18" s="58" t="str">
        <f t="shared" si="9"/>
        <v>PLANETE ROUGE (FR) PS</v>
      </c>
      <c r="P18" s="174" t="str">
        <f t="shared" si="10"/>
        <v>A Vendre</v>
      </c>
    </row>
    <row r="19" spans="1:16" ht="15">
      <c r="A19" s="52" t="s">
        <v>51</v>
      </c>
      <c r="B19" s="147">
        <v>7.45</v>
      </c>
      <c r="C19" s="147">
        <v>7.5</v>
      </c>
      <c r="D19" s="52">
        <v>21</v>
      </c>
      <c r="E19" s="53">
        <v>21</v>
      </c>
      <c r="F19" s="54">
        <f t="shared" si="0"/>
        <v>1</v>
      </c>
      <c r="G19" s="55" t="str">
        <f t="shared" si="1"/>
        <v>BRELAN D'AS</v>
      </c>
      <c r="H19" s="55" t="str">
        <f t="shared" si="2"/>
        <v>COPB</v>
      </c>
      <c r="I19" s="107">
        <f t="shared" si="3"/>
        <v>7.5</v>
      </c>
      <c r="J19" s="107">
        <f t="shared" si="4"/>
        <v>7.5</v>
      </c>
      <c r="K19" s="108">
        <f t="shared" si="5"/>
        <v>7.333333333333333</v>
      </c>
      <c r="L19" s="56">
        <f t="shared" si="6"/>
        <v>1</v>
      </c>
      <c r="M19" s="55" t="str">
        <f t="shared" si="7"/>
        <v>DR LAURE BOUGLE MANGIN
61400 LE PIN LA GARENNE</v>
      </c>
      <c r="N19" s="57" t="str">
        <f t="shared" si="8"/>
        <v>ICE AND FIRE D'ALBRAN (FR) CO</v>
      </c>
      <c r="O19" s="58" t="str">
        <f t="shared" si="9"/>
        <v>TRY YANNE DU HAHON (FR) OC</v>
      </c>
      <c r="P19" s="174">
        <f t="shared" si="10"/>
      </c>
    </row>
    <row r="20" spans="1:16" ht="15">
      <c r="A20" s="59"/>
      <c r="B20" s="147">
        <v>7.425</v>
      </c>
      <c r="C20" s="147">
        <v>7.05</v>
      </c>
      <c r="D20" s="52">
        <v>20</v>
      </c>
      <c r="E20" s="53">
        <v>20</v>
      </c>
      <c r="F20" s="54">
        <f t="shared" si="0"/>
        <v>2</v>
      </c>
      <c r="G20" s="55" t="str">
        <f t="shared" si="1"/>
        <v>BON DU TRESOR AU PENA</v>
      </c>
      <c r="H20" s="55" t="str">
        <f t="shared" si="2"/>
        <v>PFS</v>
      </c>
      <c r="I20" s="107">
        <f t="shared" si="3"/>
        <v>7.05</v>
      </c>
      <c r="J20" s="107">
        <f t="shared" si="4"/>
        <v>7.5</v>
      </c>
      <c r="K20" s="108">
        <f t="shared" si="5"/>
        <v>8</v>
      </c>
      <c r="L20" s="56">
        <f t="shared" si="6"/>
        <v>2</v>
      </c>
      <c r="M20" s="55" t="str">
        <f t="shared" si="7"/>
        <v>M. SEBASTIEN MAILLET
61290 LA LANDE SUR EURE</v>
      </c>
      <c r="N20" s="57" t="str">
        <f t="shared" si="8"/>
        <v>REXTER D'OR (FR) PFS</v>
      </c>
      <c r="O20" s="58" t="str">
        <f t="shared" si="9"/>
        <v>SIGNEE FURAX DU PENA (FR) PFS</v>
      </c>
      <c r="P20" s="174">
        <f t="shared" si="10"/>
      </c>
    </row>
    <row r="21" spans="1:16" ht="15">
      <c r="A21" s="59"/>
      <c r="B21" s="147">
        <v>7.2</v>
      </c>
      <c r="C21" s="147">
        <v>6.9</v>
      </c>
      <c r="D21" s="52">
        <v>19</v>
      </c>
      <c r="E21" s="53">
        <v>19</v>
      </c>
      <c r="F21" s="54">
        <f t="shared" si="0"/>
        <v>3</v>
      </c>
      <c r="G21" s="55" t="str">
        <f t="shared" si="1"/>
        <v>BEAUTY ROCQ</v>
      </c>
      <c r="H21" s="55" t="str">
        <f t="shared" si="2"/>
        <v>CO</v>
      </c>
      <c r="I21" s="107">
        <f t="shared" si="3"/>
        <v>6.9</v>
      </c>
      <c r="J21" s="107">
        <f t="shared" si="4"/>
        <v>8</v>
      </c>
      <c r="K21" s="108">
        <f t="shared" si="5"/>
        <v>7.166666666666667</v>
      </c>
      <c r="L21" s="56">
        <f t="shared" si="6"/>
        <v>3</v>
      </c>
      <c r="M21" s="55" t="str">
        <f t="shared" si="7"/>
        <v>MLLE JENNIFER PARDANAUD
61160 OMMEEL</v>
      </c>
      <c r="N21" s="57" t="str">
        <f t="shared" si="8"/>
        <v>DEXTER LEAM PONDI (FR) CO</v>
      </c>
      <c r="O21" s="58" t="str">
        <f t="shared" si="9"/>
        <v>TESS ROCQ (FR) CO</v>
      </c>
      <c r="P21" s="174">
        <f t="shared" si="10"/>
      </c>
    </row>
    <row r="22" spans="1:16" ht="15">
      <c r="A22" s="59"/>
      <c r="B22" s="147">
        <v>7.175</v>
      </c>
      <c r="C22" s="147">
        <v>7.4</v>
      </c>
      <c r="D22" s="52">
        <v>16</v>
      </c>
      <c r="E22" s="53">
        <v>16</v>
      </c>
      <c r="F22" s="54">
        <f t="shared" si="0"/>
        <v>4</v>
      </c>
      <c r="G22" s="55" t="str">
        <f t="shared" si="1"/>
        <v>BETTY DU CLOS DRIEUX</v>
      </c>
      <c r="H22" s="55" t="str">
        <f t="shared" si="2"/>
        <v>PFS</v>
      </c>
      <c r="I22" s="107">
        <f t="shared" si="3"/>
        <v>7.4</v>
      </c>
      <c r="J22" s="107">
        <f t="shared" si="4"/>
        <v>6.375</v>
      </c>
      <c r="K22" s="108">
        <f t="shared" si="5"/>
        <v>7.333333333333333</v>
      </c>
      <c r="L22" s="56">
        <f t="shared" si="6"/>
        <v>4</v>
      </c>
      <c r="M22" s="55" t="str">
        <f t="shared" si="7"/>
        <v>M. ROGER GRASMENIL
50600 ST HILAIRE DU HARCOUET</v>
      </c>
      <c r="N22" s="57" t="str">
        <f t="shared" si="8"/>
        <v>MAC GEYVER (DE) DRPON</v>
      </c>
      <c r="O22" s="58" t="str">
        <f t="shared" si="9"/>
        <v>JASMINE DE LA MOUCHE (FR) PFS</v>
      </c>
      <c r="P22" s="174">
        <f t="shared" si="10"/>
      </c>
    </row>
    <row r="23" spans="1:16" ht="15">
      <c r="A23" s="59"/>
      <c r="B23" s="147">
        <v>6.925</v>
      </c>
      <c r="C23" s="147">
        <v>7.35</v>
      </c>
      <c r="D23" s="52">
        <v>18</v>
      </c>
      <c r="E23" s="53">
        <v>18</v>
      </c>
      <c r="F23" s="54">
        <f t="shared" si="0"/>
        <v>5</v>
      </c>
      <c r="G23" s="55" t="str">
        <f t="shared" si="1"/>
        <v>BAZOOKA RISLOIS</v>
      </c>
      <c r="H23" s="55" t="str">
        <f t="shared" si="2"/>
        <v>PFS</v>
      </c>
      <c r="I23" s="107">
        <f t="shared" si="3"/>
        <v>7.35</v>
      </c>
      <c r="J23" s="107">
        <f t="shared" si="4"/>
        <v>6.75</v>
      </c>
      <c r="K23" s="108">
        <f t="shared" si="5"/>
        <v>6.333333333333333</v>
      </c>
      <c r="L23" s="56">
        <f t="shared" si="6"/>
        <v>5</v>
      </c>
      <c r="M23" s="55" t="str">
        <f t="shared" si="7"/>
        <v>M. ARNAUD BONVALET
27170 BEAUMONTEL</v>
      </c>
      <c r="N23" s="57" t="str">
        <f t="shared" si="8"/>
        <v>SMINOS DE CIVRY (FR) NF</v>
      </c>
      <c r="O23" s="58" t="str">
        <f t="shared" si="9"/>
        <v>ORIETA DU PONCEL (FR) SFA</v>
      </c>
      <c r="P23" s="174" t="str">
        <f t="shared" si="10"/>
        <v>A Vendre</v>
      </c>
    </row>
    <row r="24" spans="1:16" ht="15">
      <c r="A24" s="59"/>
      <c r="B24" s="147">
        <v>6.75</v>
      </c>
      <c r="C24" s="147">
        <v>6.45</v>
      </c>
      <c r="D24" s="52">
        <v>17</v>
      </c>
      <c r="E24" s="53">
        <v>17</v>
      </c>
      <c r="F24" s="54">
        <f t="shared" si="0"/>
        <v>6</v>
      </c>
      <c r="G24" s="55" t="str">
        <f t="shared" si="1"/>
        <v>BERENICE DE LOYE</v>
      </c>
      <c r="H24" s="55" t="str">
        <f t="shared" si="2"/>
        <v>COPB</v>
      </c>
      <c r="I24" s="107">
        <f t="shared" si="3"/>
        <v>6.45</v>
      </c>
      <c r="J24" s="107">
        <f t="shared" si="4"/>
        <v>7.125</v>
      </c>
      <c r="K24" s="108">
        <f t="shared" si="5"/>
        <v>7</v>
      </c>
      <c r="L24" s="56">
        <f t="shared" si="6"/>
        <v>6</v>
      </c>
      <c r="M24" s="55" t="str">
        <f t="shared" si="7"/>
        <v>MLLE JUSTINE RENAULT
76480 LE MESNIL SOUS JUMIEGES</v>
      </c>
      <c r="N24" s="57" t="str">
        <f t="shared" si="8"/>
        <v>FRICOTIN (FR) CO</v>
      </c>
      <c r="O24" s="58" t="str">
        <f t="shared" si="9"/>
        <v>CALAS DE LOYE (FR) SFA</v>
      </c>
      <c r="P24" s="174">
        <f t="shared" si="10"/>
      </c>
    </row>
    <row r="25" spans="1:16" ht="15">
      <c r="A25" s="169"/>
      <c r="B25" s="148">
        <v>6.725</v>
      </c>
      <c r="C25" s="148">
        <v>6.8</v>
      </c>
      <c r="D25" s="60">
        <v>22</v>
      </c>
      <c r="E25" s="61">
        <v>22</v>
      </c>
      <c r="F25" s="54">
        <f t="shared" si="0"/>
        <v>7</v>
      </c>
      <c r="G25" s="55" t="str">
        <f t="shared" si="1"/>
        <v>BELTAINE DEW CLADDAGH</v>
      </c>
      <c r="H25" s="55" t="str">
        <f t="shared" si="2"/>
        <v>CO</v>
      </c>
      <c r="I25" s="107">
        <f t="shared" si="3"/>
        <v>6.8</v>
      </c>
      <c r="J25" s="107">
        <f t="shared" si="4"/>
        <v>6.625</v>
      </c>
      <c r="K25" s="108">
        <f t="shared" si="5"/>
        <v>6.666666666666667</v>
      </c>
      <c r="L25" s="56">
        <f t="shared" si="6"/>
        <v>7</v>
      </c>
      <c r="M25" s="55" t="str">
        <f t="shared" si="7"/>
        <v>M. GUILLAUME BLANC
61570 ALMENECHES</v>
      </c>
      <c r="N25" s="57" t="str">
        <f t="shared" si="8"/>
        <v>BUNOWEN PADDY (GB) CO</v>
      </c>
      <c r="O25" s="58" t="str">
        <f t="shared" si="9"/>
        <v>QUIXTER DU LUOT (FR) CO</v>
      </c>
      <c r="P25" s="174">
        <f t="shared" si="10"/>
      </c>
    </row>
  </sheetData>
  <sheetProtection password="CCEF" sheet="1" selectLockedCells="1"/>
  <mergeCells count="3">
    <mergeCell ref="M2:O2"/>
    <mergeCell ref="I1:K1"/>
    <mergeCell ref="F2:K2"/>
  </mergeCells>
  <printOptions horizontalCentered="1"/>
  <pageMargins left="0.7874015748031497" right="0.7874015748031497" top="0.4724409448818898" bottom="0.5511811023622047" header="0.5118110236220472" footer="0.35433070866141736"/>
  <pageSetup fitToHeight="2" fitToWidth="1" horizontalDpi="300" verticalDpi="300" orientation="landscape" paperSize="9" scale="64" r:id="rId1"/>
  <headerFooter alignWithMargins="0">
    <oddFooter>&amp;C&amp;F&amp; &amp;P&amp;  / 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25"/>
  <sheetViews>
    <sheetView zoomScale="65" zoomScaleNormal="65" zoomScalePageLayoutView="0" workbookViewId="0" topLeftCell="A1">
      <pane ySplit="3" topLeftCell="BM4" activePane="bottomLeft" state="frozen"/>
      <selection pane="topLeft" activeCell="G8" sqref="G8"/>
      <selection pane="bottomLeft" activeCell="F2" sqref="F2"/>
    </sheetView>
  </sheetViews>
  <sheetFormatPr defaultColWidth="10.00390625" defaultRowHeight="15"/>
  <cols>
    <col min="1" max="1" width="10.875" style="46" customWidth="1"/>
    <col min="2" max="2" width="7.00390625" style="62" customWidth="1"/>
    <col min="3" max="3" width="9.125" style="46" hidden="1" customWidth="1"/>
    <col min="4" max="4" width="9.125" style="46" customWidth="1"/>
    <col min="5" max="5" width="5.50390625" style="46" hidden="1" customWidth="1"/>
    <col min="6" max="6" width="4.875" style="46" customWidth="1"/>
    <col min="7" max="7" width="26.50390625" style="46" customWidth="1"/>
    <col min="8" max="8" width="3.25390625" style="45" hidden="1" customWidth="1"/>
    <col min="9" max="9" width="1.37890625" style="44" customWidth="1"/>
    <col min="10" max="10" width="10.875" style="46" customWidth="1"/>
    <col min="11" max="11" width="7.125" style="62" customWidth="1"/>
    <col min="12" max="12" width="9.125" style="46" hidden="1" customWidth="1"/>
    <col min="13" max="13" width="9.125" style="46" customWidth="1"/>
    <col min="14" max="14" width="5.50390625" style="46" hidden="1" customWidth="1"/>
    <col min="15" max="15" width="4.875" style="46" customWidth="1"/>
    <col min="16" max="16" width="26.50390625" style="46" customWidth="1"/>
    <col min="17" max="17" width="3.25390625" style="45" hidden="1" customWidth="1"/>
    <col min="18" max="18" width="1.37890625" style="44" customWidth="1"/>
    <col min="19" max="19" width="10.875" style="46" customWidth="1"/>
    <col min="20" max="20" width="7.00390625" style="62" customWidth="1"/>
    <col min="21" max="21" width="9.125" style="46" hidden="1" customWidth="1"/>
    <col min="22" max="22" width="9.125" style="46" customWidth="1"/>
    <col min="23" max="23" width="5.50390625" style="46" hidden="1" customWidth="1"/>
    <col min="24" max="24" width="4.875" style="46" customWidth="1"/>
    <col min="25" max="25" width="26.50390625" style="46" customWidth="1"/>
    <col min="26" max="26" width="3.25390625" style="45" hidden="1" customWidth="1"/>
    <col min="27" max="16384" width="10.00390625" style="45" customWidth="1"/>
  </cols>
  <sheetData>
    <row r="1" spans="1:25" ht="15.75" thickBot="1">
      <c r="A1" s="38" t="str">
        <f>+Classements3A!A1</f>
        <v>MONTES</v>
      </c>
      <c r="B1" s="98" t="str">
        <f>+Classements3A!B1</f>
        <v>LOCAL</v>
      </c>
      <c r="C1" s="98" t="str">
        <f>+Classements3A!C1</f>
        <v>LE PIN AU HARAS</v>
      </c>
      <c r="D1" s="99"/>
      <c r="E1" s="152"/>
      <c r="F1" s="152"/>
      <c r="G1" s="153">
        <f>+Classements3A!G1</f>
        <v>41783</v>
      </c>
      <c r="J1" s="38" t="str">
        <f>+A1</f>
        <v>MONTES</v>
      </c>
      <c r="K1" s="98" t="str">
        <f>+B1</f>
        <v>LOCAL</v>
      </c>
      <c r="L1" s="151" t="str">
        <f>+C1</f>
        <v>LE PIN AU HARAS</v>
      </c>
      <c r="M1" s="99"/>
      <c r="N1" s="152"/>
      <c r="O1" s="152"/>
      <c r="P1" s="153">
        <f>+G1</f>
        <v>41783</v>
      </c>
      <c r="S1" s="38" t="str">
        <f>+J1</f>
        <v>MONTES</v>
      </c>
      <c r="T1" s="98" t="str">
        <f>+K1</f>
        <v>LOCAL</v>
      </c>
      <c r="U1" s="151" t="str">
        <f>+L1</f>
        <v>LE PIN AU HARAS</v>
      </c>
      <c r="V1" s="99"/>
      <c r="W1" s="152"/>
      <c r="X1" s="152"/>
      <c r="Y1" s="153">
        <f>+P1</f>
        <v>41783</v>
      </c>
    </row>
    <row r="2" spans="1:25" ht="17.25" thickBot="1">
      <c r="A2" s="154" t="s">
        <v>91</v>
      </c>
      <c r="B2" s="155"/>
      <c r="C2" s="155"/>
      <c r="D2" s="155"/>
      <c r="E2" s="47"/>
      <c r="F2" s="156" t="s">
        <v>92</v>
      </c>
      <c r="G2" s="157" t="s">
        <v>57</v>
      </c>
      <c r="J2" s="154" t="s">
        <v>91</v>
      </c>
      <c r="K2" s="155"/>
      <c r="L2" s="155"/>
      <c r="M2" s="155"/>
      <c r="N2" s="47"/>
      <c r="O2" s="156" t="s">
        <v>92</v>
      </c>
      <c r="P2" s="157" t="s">
        <v>58</v>
      </c>
      <c r="S2" s="154" t="s">
        <v>91</v>
      </c>
      <c r="T2" s="155"/>
      <c r="U2" s="155"/>
      <c r="V2" s="155"/>
      <c r="W2" s="47"/>
      <c r="X2" s="156" t="s">
        <v>92</v>
      </c>
      <c r="Y2" s="157" t="s">
        <v>59</v>
      </c>
    </row>
    <row r="3" spans="1:25" s="160" customFormat="1" ht="69" customHeight="1" thickBot="1" thickTop="1">
      <c r="A3" s="158" t="s">
        <v>26</v>
      </c>
      <c r="B3" s="154" t="s">
        <v>39</v>
      </c>
      <c r="C3" s="158" t="s">
        <v>14</v>
      </c>
      <c r="D3" s="158" t="s">
        <v>25</v>
      </c>
      <c r="E3" s="48" t="s">
        <v>24</v>
      </c>
      <c r="F3" s="159" t="s">
        <v>68</v>
      </c>
      <c r="G3" s="50" t="s">
        <v>11</v>
      </c>
      <c r="I3" s="161"/>
      <c r="J3" s="158" t="s">
        <v>26</v>
      </c>
      <c r="K3" s="154" t="s">
        <v>44</v>
      </c>
      <c r="L3" s="158" t="s">
        <v>14</v>
      </c>
      <c r="M3" s="158" t="s">
        <v>25</v>
      </c>
      <c r="N3" s="48" t="s">
        <v>24</v>
      </c>
      <c r="O3" s="159" t="s">
        <v>68</v>
      </c>
      <c r="P3" s="50" t="s">
        <v>11</v>
      </c>
      <c r="R3" s="161"/>
      <c r="S3" s="158" t="s">
        <v>26</v>
      </c>
      <c r="T3" s="154" t="s">
        <v>48</v>
      </c>
      <c r="U3" s="158" t="s">
        <v>14</v>
      </c>
      <c r="V3" s="158" t="s">
        <v>25</v>
      </c>
      <c r="W3" s="48" t="s">
        <v>24</v>
      </c>
      <c r="X3" s="159" t="s">
        <v>68</v>
      </c>
      <c r="Y3" s="50" t="s">
        <v>11</v>
      </c>
    </row>
    <row r="4" spans="1:26" ht="15">
      <c r="A4" s="52" t="s">
        <v>53</v>
      </c>
      <c r="B4" s="147">
        <v>6.95</v>
      </c>
      <c r="C4" s="52">
        <v>125</v>
      </c>
      <c r="D4" s="52">
        <v>13</v>
      </c>
      <c r="E4" s="53">
        <v>13</v>
      </c>
      <c r="F4" s="162">
        <f aca="true" t="shared" si="0" ref="F4:F25">IF(A4="",IF(B4="",+F3,H4),H4)</f>
        <v>1</v>
      </c>
      <c r="G4" s="163" t="str">
        <f>VLOOKUP($D4,Notes3A!A$4:B$26,2)</f>
        <v>BE ICONIC SQUARE</v>
      </c>
      <c r="H4" s="164">
        <f aca="true" t="shared" si="1" ref="H4:H25">+IF(A4="",1+H3,1)</f>
        <v>1</v>
      </c>
      <c r="J4" s="52" t="s">
        <v>53</v>
      </c>
      <c r="K4" s="147">
        <v>7.5</v>
      </c>
      <c r="L4" s="52">
        <v>125</v>
      </c>
      <c r="M4" s="52">
        <v>13</v>
      </c>
      <c r="N4" s="53">
        <v>13</v>
      </c>
      <c r="O4" s="162">
        <f aca="true" t="shared" si="2" ref="O4:O25">IF(K4="",IF(L4="",+O3,Q4),Q4)</f>
        <v>1</v>
      </c>
      <c r="P4" s="163" t="str">
        <f>VLOOKUP($M4,Notes3A!A$4:B$26,2)</f>
        <v>BE ICONIC SQUARE</v>
      </c>
      <c r="Q4" s="164">
        <f aca="true" t="shared" si="3" ref="Q4:Q25">+IF(J4="",1+Q3,1)</f>
        <v>1</v>
      </c>
      <c r="S4" s="52" t="s">
        <v>53</v>
      </c>
      <c r="T4" s="147">
        <v>6.833333333333333</v>
      </c>
      <c r="U4" s="52">
        <v>125</v>
      </c>
      <c r="V4" s="52">
        <v>13</v>
      </c>
      <c r="W4" s="53">
        <v>13</v>
      </c>
      <c r="X4" s="165">
        <f aca="true" t="shared" si="4" ref="X4:X25">IF(T4="",IF(U4="",X3,Z4),Z4)</f>
        <v>1</v>
      </c>
      <c r="Y4" s="163" t="str">
        <f>VLOOKUP($V4,Notes3A!A$4:B$26,2)</f>
        <v>BE ICONIC SQUARE</v>
      </c>
      <c r="Z4" s="164">
        <f aca="true" t="shared" si="5" ref="Z4:Z25">+IF(S4="",1+Z3,1)</f>
        <v>1</v>
      </c>
    </row>
    <row r="5" spans="1:26" ht="15">
      <c r="A5" s="59"/>
      <c r="B5" s="147">
        <v>6.85</v>
      </c>
      <c r="C5" s="52">
        <v>125</v>
      </c>
      <c r="D5" s="52">
        <v>12</v>
      </c>
      <c r="E5" s="53">
        <v>12</v>
      </c>
      <c r="F5" s="165">
        <f t="shared" si="0"/>
        <v>2</v>
      </c>
      <c r="G5" s="166" t="str">
        <f>VLOOKUP($D5,Notes3A!A$4:B$26,2)</f>
        <v>BIRTHDAY PARTY SQUARE</v>
      </c>
      <c r="H5" s="164">
        <f t="shared" si="1"/>
        <v>2</v>
      </c>
      <c r="J5" s="59"/>
      <c r="K5" s="147">
        <v>6.625</v>
      </c>
      <c r="L5" s="52">
        <v>125</v>
      </c>
      <c r="M5" s="52">
        <v>14</v>
      </c>
      <c r="N5" s="53">
        <v>14</v>
      </c>
      <c r="O5" s="165">
        <f t="shared" si="2"/>
        <v>2</v>
      </c>
      <c r="P5" s="166" t="str">
        <f>VLOOKUP($M5,Notes3A!A$4:B$26,2)</f>
        <v>BE A TEA ADDICT SQUAR</v>
      </c>
      <c r="Q5" s="164">
        <f t="shared" si="3"/>
        <v>2</v>
      </c>
      <c r="S5" s="59"/>
      <c r="T5" s="147">
        <v>6.666666666666667</v>
      </c>
      <c r="U5" s="52">
        <v>125</v>
      </c>
      <c r="V5" s="52">
        <v>14</v>
      </c>
      <c r="W5" s="53">
        <v>14</v>
      </c>
      <c r="X5" s="165">
        <f t="shared" si="4"/>
        <v>2</v>
      </c>
      <c r="Y5" s="166" t="str">
        <f>VLOOKUP($V5,Notes3A!A$4:B$26,2)</f>
        <v>BE A TEA ADDICT SQUAR</v>
      </c>
      <c r="Z5" s="164">
        <f t="shared" si="5"/>
        <v>2</v>
      </c>
    </row>
    <row r="6" spans="1:26" ht="15">
      <c r="A6" s="59"/>
      <c r="B6" s="59"/>
      <c r="C6" s="59"/>
      <c r="D6" s="167">
        <v>14</v>
      </c>
      <c r="E6" s="168">
        <v>14</v>
      </c>
      <c r="F6" s="165">
        <f t="shared" si="0"/>
        <v>2</v>
      </c>
      <c r="G6" s="166" t="str">
        <f>VLOOKUP($D6,Notes3A!A$4:B$26,2)</f>
        <v>BE A TEA ADDICT SQUAR</v>
      </c>
      <c r="H6" s="164">
        <f t="shared" si="1"/>
        <v>3</v>
      </c>
      <c r="J6" s="59"/>
      <c r="K6" s="147">
        <v>6.375</v>
      </c>
      <c r="L6" s="52">
        <v>125</v>
      </c>
      <c r="M6" s="52">
        <v>12</v>
      </c>
      <c r="N6" s="53">
        <v>12</v>
      </c>
      <c r="O6" s="165">
        <f t="shared" si="2"/>
        <v>3</v>
      </c>
      <c r="P6" s="166" t="str">
        <f>VLOOKUP($M6,Notes3A!A$4:B$26,2)</f>
        <v>BIRTHDAY PARTY SQUARE</v>
      </c>
      <c r="Q6" s="164">
        <f t="shared" si="3"/>
        <v>3</v>
      </c>
      <c r="S6" s="59"/>
      <c r="T6" s="147">
        <v>6.5</v>
      </c>
      <c r="U6" s="52">
        <v>125</v>
      </c>
      <c r="V6" s="52">
        <v>12</v>
      </c>
      <c r="W6" s="53">
        <v>12</v>
      </c>
      <c r="X6" s="165">
        <f t="shared" si="4"/>
        <v>3</v>
      </c>
      <c r="Y6" s="166" t="str">
        <f>VLOOKUP($V6,Notes3A!A$4:B$26,2)</f>
        <v>BIRTHDAY PARTY SQUARE</v>
      </c>
      <c r="Z6" s="164">
        <f t="shared" si="5"/>
        <v>3</v>
      </c>
    </row>
    <row r="7" spans="1:26" ht="15">
      <c r="A7" s="52" t="s">
        <v>51</v>
      </c>
      <c r="B7" s="147">
        <v>7.5</v>
      </c>
      <c r="C7" s="52">
        <v>149</v>
      </c>
      <c r="D7" s="52">
        <v>21</v>
      </c>
      <c r="E7" s="53">
        <v>21</v>
      </c>
      <c r="F7" s="165">
        <f t="shared" si="0"/>
        <v>1</v>
      </c>
      <c r="G7" s="166" t="str">
        <f>VLOOKUP($D7,Notes3A!A$4:B$26,2)</f>
        <v>BRELAN D'AS</v>
      </c>
      <c r="H7" s="164">
        <f t="shared" si="1"/>
        <v>1</v>
      </c>
      <c r="J7" s="52" t="s">
        <v>51</v>
      </c>
      <c r="K7" s="147">
        <v>8</v>
      </c>
      <c r="L7" s="52">
        <v>148</v>
      </c>
      <c r="M7" s="52">
        <v>19</v>
      </c>
      <c r="N7" s="53">
        <v>19</v>
      </c>
      <c r="O7" s="165">
        <f t="shared" si="2"/>
        <v>1</v>
      </c>
      <c r="P7" s="166" t="str">
        <f>VLOOKUP($M7,Notes3A!A$4:B$26,2)</f>
        <v>BEAUTY ROCQ</v>
      </c>
      <c r="Q7" s="164">
        <f t="shared" si="3"/>
        <v>1</v>
      </c>
      <c r="S7" s="52" t="s">
        <v>51</v>
      </c>
      <c r="T7" s="147">
        <v>8</v>
      </c>
      <c r="U7" s="52">
        <v>148</v>
      </c>
      <c r="V7" s="52">
        <v>20</v>
      </c>
      <c r="W7" s="53">
        <v>20</v>
      </c>
      <c r="X7" s="165">
        <f t="shared" si="4"/>
        <v>1</v>
      </c>
      <c r="Y7" s="166" t="str">
        <f>VLOOKUP($V7,Notes3A!A$4:B$26,2)</f>
        <v>BON DU TRESOR AU PENA</v>
      </c>
      <c r="Z7" s="164">
        <f t="shared" si="5"/>
        <v>1</v>
      </c>
    </row>
    <row r="8" spans="1:26" ht="15">
      <c r="A8" s="59"/>
      <c r="B8" s="147">
        <v>7.4</v>
      </c>
      <c r="C8" s="52">
        <v>145</v>
      </c>
      <c r="D8" s="52">
        <v>16</v>
      </c>
      <c r="E8" s="53">
        <v>16</v>
      </c>
      <c r="F8" s="165">
        <f t="shared" si="0"/>
        <v>2</v>
      </c>
      <c r="G8" s="166" t="str">
        <f>VLOOKUP($D8,Notes3A!A$4:B$26,2)</f>
        <v>BETTY DU CLOS DRIEUX</v>
      </c>
      <c r="H8" s="164">
        <f t="shared" si="1"/>
        <v>2</v>
      </c>
      <c r="J8" s="59"/>
      <c r="K8" s="147">
        <v>7.5</v>
      </c>
      <c r="L8" s="52">
        <v>148</v>
      </c>
      <c r="M8" s="52">
        <v>20</v>
      </c>
      <c r="N8" s="53">
        <v>20</v>
      </c>
      <c r="O8" s="165">
        <f t="shared" si="2"/>
        <v>2</v>
      </c>
      <c r="P8" s="166" t="str">
        <f>VLOOKUP($M8,Notes3A!A$4:B$26,2)</f>
        <v>BON DU TRESOR AU PENA</v>
      </c>
      <c r="Q8" s="164">
        <f t="shared" si="3"/>
        <v>2</v>
      </c>
      <c r="S8" s="59"/>
      <c r="T8" s="147">
        <v>7.333333333333333</v>
      </c>
      <c r="U8" s="52">
        <v>145</v>
      </c>
      <c r="V8" s="52">
        <v>16</v>
      </c>
      <c r="W8" s="53">
        <v>16</v>
      </c>
      <c r="X8" s="165">
        <f t="shared" si="4"/>
        <v>2</v>
      </c>
      <c r="Y8" s="166" t="str">
        <f>VLOOKUP($V8,Notes3A!A$4:B$26,2)</f>
        <v>BETTY DU CLOS DRIEUX</v>
      </c>
      <c r="Z8" s="164">
        <f t="shared" si="5"/>
        <v>2</v>
      </c>
    </row>
    <row r="9" spans="1:26" ht="15">
      <c r="A9" s="59"/>
      <c r="B9" s="147">
        <v>7.35</v>
      </c>
      <c r="C9" s="52">
        <v>147</v>
      </c>
      <c r="D9" s="52">
        <v>18</v>
      </c>
      <c r="E9" s="53">
        <v>18</v>
      </c>
      <c r="F9" s="165">
        <f t="shared" si="0"/>
        <v>3</v>
      </c>
      <c r="G9" s="166" t="str">
        <f>VLOOKUP($D9,Notes3A!A$4:B$26,2)</f>
        <v>BAZOOKA RISLOIS</v>
      </c>
      <c r="H9" s="164">
        <f t="shared" si="1"/>
        <v>3</v>
      </c>
      <c r="J9" s="59"/>
      <c r="K9" s="59"/>
      <c r="L9" s="52">
        <v>149</v>
      </c>
      <c r="M9" s="52">
        <v>21</v>
      </c>
      <c r="N9" s="53">
        <v>21</v>
      </c>
      <c r="O9" s="165">
        <f t="shared" si="2"/>
        <v>3</v>
      </c>
      <c r="P9" s="166" t="str">
        <f>VLOOKUP($M9,Notes3A!A$4:B$26,2)</f>
        <v>BRELAN D'AS</v>
      </c>
      <c r="Q9" s="164">
        <f t="shared" si="3"/>
        <v>3</v>
      </c>
      <c r="S9" s="59"/>
      <c r="T9" s="59"/>
      <c r="U9" s="52">
        <v>149</v>
      </c>
      <c r="V9" s="52">
        <v>21</v>
      </c>
      <c r="W9" s="53">
        <v>21</v>
      </c>
      <c r="X9" s="165">
        <f t="shared" si="4"/>
        <v>3</v>
      </c>
      <c r="Y9" s="166" t="str">
        <f>VLOOKUP($V9,Notes3A!A$4:B$26,2)</f>
        <v>BRELAN D'AS</v>
      </c>
      <c r="Z9" s="164">
        <f t="shared" si="5"/>
        <v>3</v>
      </c>
    </row>
    <row r="10" spans="1:26" ht="15">
      <c r="A10" s="59"/>
      <c r="B10" s="147">
        <v>7.05</v>
      </c>
      <c r="C10" s="52">
        <v>148</v>
      </c>
      <c r="D10" s="52">
        <v>20</v>
      </c>
      <c r="E10" s="53">
        <v>20</v>
      </c>
      <c r="F10" s="165">
        <f t="shared" si="0"/>
        <v>4</v>
      </c>
      <c r="G10" s="166" t="str">
        <f>VLOOKUP($D10,Notes3A!A$4:B$26,2)</f>
        <v>BON DU TRESOR AU PENA</v>
      </c>
      <c r="H10" s="164">
        <f t="shared" si="1"/>
        <v>4</v>
      </c>
      <c r="J10" s="59"/>
      <c r="K10" s="147">
        <v>7.125</v>
      </c>
      <c r="L10" s="52">
        <v>147</v>
      </c>
      <c r="M10" s="52">
        <v>17</v>
      </c>
      <c r="N10" s="53">
        <v>17</v>
      </c>
      <c r="O10" s="165">
        <f t="shared" si="2"/>
        <v>4</v>
      </c>
      <c r="P10" s="166" t="str">
        <f>VLOOKUP($M10,Notes3A!A$4:B$26,2)</f>
        <v>BERENICE DE LOYE</v>
      </c>
      <c r="Q10" s="164">
        <f t="shared" si="3"/>
        <v>4</v>
      </c>
      <c r="S10" s="59"/>
      <c r="T10" s="147">
        <v>7.166666666666667</v>
      </c>
      <c r="U10" s="52">
        <v>148</v>
      </c>
      <c r="V10" s="52">
        <v>19</v>
      </c>
      <c r="W10" s="53">
        <v>19</v>
      </c>
      <c r="X10" s="165">
        <f t="shared" si="4"/>
        <v>4</v>
      </c>
      <c r="Y10" s="166" t="str">
        <f>VLOOKUP($V10,Notes3A!A$4:B$26,2)</f>
        <v>BEAUTY ROCQ</v>
      </c>
      <c r="Z10" s="164">
        <f t="shared" si="5"/>
        <v>4</v>
      </c>
    </row>
    <row r="11" spans="1:26" ht="15">
      <c r="A11" s="59"/>
      <c r="B11" s="147">
        <v>6.9</v>
      </c>
      <c r="C11" s="52">
        <v>148</v>
      </c>
      <c r="D11" s="52">
        <v>19</v>
      </c>
      <c r="E11" s="53">
        <v>19</v>
      </c>
      <c r="F11" s="165">
        <f t="shared" si="0"/>
        <v>5</v>
      </c>
      <c r="G11" s="166" t="str">
        <f>VLOOKUP($D11,Notes3A!A$4:B$26,2)</f>
        <v>BEAUTY ROCQ</v>
      </c>
      <c r="H11" s="164">
        <f t="shared" si="1"/>
        <v>5</v>
      </c>
      <c r="J11" s="59"/>
      <c r="K11" s="147">
        <v>6.75</v>
      </c>
      <c r="L11" s="52">
        <v>147</v>
      </c>
      <c r="M11" s="52">
        <v>18</v>
      </c>
      <c r="N11" s="53">
        <v>18</v>
      </c>
      <c r="O11" s="165">
        <f t="shared" si="2"/>
        <v>5</v>
      </c>
      <c r="P11" s="166" t="str">
        <f>VLOOKUP($M11,Notes3A!A$4:B$26,2)</f>
        <v>BAZOOKA RISLOIS</v>
      </c>
      <c r="Q11" s="164">
        <f t="shared" si="3"/>
        <v>5</v>
      </c>
      <c r="S11" s="59"/>
      <c r="T11" s="147">
        <v>7</v>
      </c>
      <c r="U11" s="52">
        <v>147</v>
      </c>
      <c r="V11" s="52">
        <v>17</v>
      </c>
      <c r="W11" s="53">
        <v>17</v>
      </c>
      <c r="X11" s="165">
        <f t="shared" si="4"/>
        <v>5</v>
      </c>
      <c r="Y11" s="166" t="str">
        <f>VLOOKUP($V11,Notes3A!A$4:B$26,2)</f>
        <v>BERENICE DE LOYE</v>
      </c>
      <c r="Z11" s="164">
        <f t="shared" si="5"/>
        <v>5</v>
      </c>
    </row>
    <row r="12" spans="1:26" ht="15">
      <c r="A12" s="59"/>
      <c r="B12" s="147">
        <v>6.8</v>
      </c>
      <c r="C12" s="52">
        <v>141</v>
      </c>
      <c r="D12" s="52">
        <v>22</v>
      </c>
      <c r="E12" s="53">
        <v>22</v>
      </c>
      <c r="F12" s="165">
        <f t="shared" si="0"/>
        <v>6</v>
      </c>
      <c r="G12" s="166" t="str">
        <f>VLOOKUP($D12,Notes3A!A$4:B$26,2)</f>
        <v>BELTAINE DEW CLADDAGH</v>
      </c>
      <c r="H12" s="164">
        <f t="shared" si="1"/>
        <v>6</v>
      </c>
      <c r="J12" s="59"/>
      <c r="K12" s="147">
        <v>6.625</v>
      </c>
      <c r="L12" s="52">
        <v>141</v>
      </c>
      <c r="M12" s="52">
        <v>22</v>
      </c>
      <c r="N12" s="53">
        <v>22</v>
      </c>
      <c r="O12" s="165">
        <f t="shared" si="2"/>
        <v>6</v>
      </c>
      <c r="P12" s="166" t="str">
        <f>VLOOKUP($M12,Notes3A!A$4:B$26,2)</f>
        <v>BELTAINE DEW CLADDAGH</v>
      </c>
      <c r="Q12" s="164">
        <f t="shared" si="3"/>
        <v>6</v>
      </c>
      <c r="S12" s="59"/>
      <c r="T12" s="147">
        <v>6.666666666666667</v>
      </c>
      <c r="U12" s="52">
        <v>141</v>
      </c>
      <c r="V12" s="52">
        <v>22</v>
      </c>
      <c r="W12" s="53">
        <v>22</v>
      </c>
      <c r="X12" s="165">
        <f t="shared" si="4"/>
        <v>6</v>
      </c>
      <c r="Y12" s="166" t="str">
        <f>VLOOKUP($V12,Notes3A!A$4:B$26,2)</f>
        <v>BELTAINE DEW CLADDAGH</v>
      </c>
      <c r="Z12" s="164">
        <f t="shared" si="5"/>
        <v>6</v>
      </c>
    </row>
    <row r="13" spans="1:26" ht="15">
      <c r="A13" s="59"/>
      <c r="B13" s="147">
        <v>6.45</v>
      </c>
      <c r="C13" s="52">
        <v>147</v>
      </c>
      <c r="D13" s="52">
        <v>17</v>
      </c>
      <c r="E13" s="53">
        <v>17</v>
      </c>
      <c r="F13" s="165">
        <f t="shared" si="0"/>
        <v>7</v>
      </c>
      <c r="G13" s="166" t="str">
        <f>VLOOKUP($D13,Notes3A!A$4:B$26,2)</f>
        <v>BERENICE DE LOYE</v>
      </c>
      <c r="H13" s="164">
        <f t="shared" si="1"/>
        <v>7</v>
      </c>
      <c r="J13" s="59"/>
      <c r="K13" s="147">
        <v>6.375</v>
      </c>
      <c r="L13" s="52">
        <v>145</v>
      </c>
      <c r="M13" s="52">
        <v>16</v>
      </c>
      <c r="N13" s="53">
        <v>16</v>
      </c>
      <c r="O13" s="165">
        <f t="shared" si="2"/>
        <v>7</v>
      </c>
      <c r="P13" s="166" t="str">
        <f>VLOOKUP($M13,Notes3A!A$4:B$26,2)</f>
        <v>BETTY DU CLOS DRIEUX</v>
      </c>
      <c r="Q13" s="164">
        <f t="shared" si="3"/>
        <v>7</v>
      </c>
      <c r="S13" s="59"/>
      <c r="T13" s="147">
        <v>6.333333333333333</v>
      </c>
      <c r="U13" s="52">
        <v>147</v>
      </c>
      <c r="V13" s="52">
        <v>18</v>
      </c>
      <c r="W13" s="53">
        <v>18</v>
      </c>
      <c r="X13" s="165">
        <f t="shared" si="4"/>
        <v>7</v>
      </c>
      <c r="Y13" s="166" t="str">
        <f>VLOOKUP($V13,Notes3A!A$4:B$26,2)</f>
        <v>BAZOOKA RISLOIS</v>
      </c>
      <c r="Z13" s="164">
        <f t="shared" si="5"/>
        <v>7</v>
      </c>
    </row>
    <row r="14" spans="1:26" ht="15">
      <c r="A14" s="52" t="s">
        <v>231</v>
      </c>
      <c r="B14" s="147">
        <v>6.1</v>
      </c>
      <c r="C14" s="52">
        <v>153</v>
      </c>
      <c r="D14" s="52">
        <v>23</v>
      </c>
      <c r="E14" s="53">
        <v>23</v>
      </c>
      <c r="F14" s="165">
        <f t="shared" si="0"/>
        <v>1</v>
      </c>
      <c r="G14" s="166" t="str">
        <f>VLOOKUP($D14,Notes3A!A$4:B$26,2)</f>
        <v>BRIMBELLE DE CAZALS</v>
      </c>
      <c r="H14" s="164">
        <f t="shared" si="1"/>
        <v>1</v>
      </c>
      <c r="J14" s="52" t="s">
        <v>231</v>
      </c>
      <c r="K14" s="147">
        <v>6.125</v>
      </c>
      <c r="L14" s="52">
        <v>153</v>
      </c>
      <c r="M14" s="52">
        <v>23</v>
      </c>
      <c r="N14" s="53">
        <v>23</v>
      </c>
      <c r="O14" s="165">
        <f t="shared" si="2"/>
        <v>1</v>
      </c>
      <c r="P14" s="166" t="str">
        <f>VLOOKUP($M14,Notes3A!A$4:B$26,2)</f>
        <v>BRIMBELLE DE CAZALS</v>
      </c>
      <c r="Q14" s="164">
        <f t="shared" si="3"/>
        <v>1</v>
      </c>
      <c r="S14" s="52" t="s">
        <v>231</v>
      </c>
      <c r="T14" s="147">
        <v>5.833333333333333</v>
      </c>
      <c r="U14" s="52">
        <v>153</v>
      </c>
      <c r="V14" s="52">
        <v>23</v>
      </c>
      <c r="W14" s="53">
        <v>23</v>
      </c>
      <c r="X14" s="165">
        <f t="shared" si="4"/>
        <v>1</v>
      </c>
      <c r="Y14" s="166" t="str">
        <f>VLOOKUP($V14,Notes3A!A$4:B$26,2)</f>
        <v>BRIMBELLE DE CAZALS</v>
      </c>
      <c r="Z14" s="164">
        <f t="shared" si="5"/>
        <v>1</v>
      </c>
    </row>
    <row r="15" spans="1:26" ht="15">
      <c r="A15" s="52" t="s">
        <v>90</v>
      </c>
      <c r="B15" s="147">
        <v>7.2</v>
      </c>
      <c r="C15" s="52">
        <v>121</v>
      </c>
      <c r="D15" s="52">
        <v>1</v>
      </c>
      <c r="E15" s="53">
        <v>1</v>
      </c>
      <c r="F15" s="165">
        <f t="shared" si="0"/>
        <v>1</v>
      </c>
      <c r="G15" s="166" t="str">
        <f>VLOOKUP($D15,Notes3A!A$4:B$26,2)</f>
        <v>BYE BYE PARIS LE SAGE</v>
      </c>
      <c r="H15" s="164">
        <f t="shared" si="1"/>
        <v>1</v>
      </c>
      <c r="J15" s="52" t="s">
        <v>90</v>
      </c>
      <c r="K15" s="147">
        <v>6.375</v>
      </c>
      <c r="L15" s="52">
        <v>121</v>
      </c>
      <c r="M15" s="52">
        <v>1</v>
      </c>
      <c r="N15" s="53">
        <v>1</v>
      </c>
      <c r="O15" s="165">
        <f t="shared" si="2"/>
        <v>1</v>
      </c>
      <c r="P15" s="166" t="str">
        <f>VLOOKUP($M15,Notes3A!A$4:B$26,2)</f>
        <v>BYE BYE PARIS LE SAGE</v>
      </c>
      <c r="Q15" s="164">
        <f t="shared" si="3"/>
        <v>1</v>
      </c>
      <c r="S15" s="52" t="s">
        <v>90</v>
      </c>
      <c r="T15" s="147">
        <v>6.5</v>
      </c>
      <c r="U15" s="52">
        <v>121</v>
      </c>
      <c r="V15" s="52">
        <v>1</v>
      </c>
      <c r="W15" s="53">
        <v>1</v>
      </c>
      <c r="X15" s="165">
        <f t="shared" si="4"/>
        <v>1</v>
      </c>
      <c r="Y15" s="166" t="str">
        <f>VLOOKUP($V15,Notes3A!A$4:B$26,2)</f>
        <v>BYE BYE PARIS LE SAGE</v>
      </c>
      <c r="Z15" s="164">
        <f t="shared" si="5"/>
        <v>1</v>
      </c>
    </row>
    <row r="16" spans="1:26" ht="15">
      <c r="A16" s="52" t="s">
        <v>229</v>
      </c>
      <c r="B16" s="147">
        <v>7.1</v>
      </c>
      <c r="C16" s="52">
        <v>138</v>
      </c>
      <c r="D16" s="52">
        <v>2</v>
      </c>
      <c r="E16" s="53">
        <v>2</v>
      </c>
      <c r="F16" s="165">
        <f t="shared" si="0"/>
        <v>1</v>
      </c>
      <c r="G16" s="166" t="str">
        <f>VLOOKUP($D16,Notes3A!A$4:B$26,2)</f>
        <v>BENEF DES BRIMBELLES</v>
      </c>
      <c r="H16" s="164">
        <f t="shared" si="1"/>
        <v>1</v>
      </c>
      <c r="J16" s="52" t="s">
        <v>229</v>
      </c>
      <c r="K16" s="147">
        <v>7</v>
      </c>
      <c r="L16" s="52">
        <v>138</v>
      </c>
      <c r="M16" s="52">
        <v>2</v>
      </c>
      <c r="N16" s="53">
        <v>2</v>
      </c>
      <c r="O16" s="165">
        <f t="shared" si="2"/>
        <v>1</v>
      </c>
      <c r="P16" s="166" t="str">
        <f>VLOOKUP($M16,Notes3A!A$4:B$26,2)</f>
        <v>BENEF DES BRIMBELLES</v>
      </c>
      <c r="Q16" s="164">
        <f t="shared" si="3"/>
        <v>1</v>
      </c>
      <c r="S16" s="52" t="s">
        <v>229</v>
      </c>
      <c r="T16" s="147">
        <v>5.666666666666667</v>
      </c>
      <c r="U16" s="52">
        <v>138</v>
      </c>
      <c r="V16" s="52">
        <v>2</v>
      </c>
      <c r="W16" s="53">
        <v>2</v>
      </c>
      <c r="X16" s="165">
        <f t="shared" si="4"/>
        <v>1</v>
      </c>
      <c r="Y16" s="166" t="str">
        <f>VLOOKUP($V16,Notes3A!A$4:B$26,2)</f>
        <v>BENEF DES BRIMBELLES</v>
      </c>
      <c r="Z16" s="164">
        <f t="shared" si="5"/>
        <v>1</v>
      </c>
    </row>
    <row r="17" spans="1:26" ht="15">
      <c r="A17" s="52" t="s">
        <v>52</v>
      </c>
      <c r="B17" s="147">
        <v>7.8</v>
      </c>
      <c r="C17" s="52">
        <v>145</v>
      </c>
      <c r="D17" s="52">
        <v>3</v>
      </c>
      <c r="E17" s="53">
        <v>3</v>
      </c>
      <c r="F17" s="165">
        <f t="shared" si="0"/>
        <v>1</v>
      </c>
      <c r="G17" s="166" t="str">
        <f>VLOOKUP($D17,Notes3A!A$4:B$26,2)</f>
        <v>BOOSTER DE LA CROIX</v>
      </c>
      <c r="H17" s="164">
        <f t="shared" si="1"/>
        <v>1</v>
      </c>
      <c r="J17" s="52" t="s">
        <v>52</v>
      </c>
      <c r="K17" s="147">
        <v>8</v>
      </c>
      <c r="L17" s="52">
        <v>148</v>
      </c>
      <c r="M17" s="52">
        <v>11</v>
      </c>
      <c r="N17" s="53">
        <v>11</v>
      </c>
      <c r="O17" s="165">
        <f t="shared" si="2"/>
        <v>1</v>
      </c>
      <c r="P17" s="166" t="str">
        <f>VLOOKUP($M17,Notes3A!A$4:B$26,2)</f>
        <v>BLUE JEANS</v>
      </c>
      <c r="Q17" s="164">
        <f t="shared" si="3"/>
        <v>1</v>
      </c>
      <c r="S17" s="52" t="s">
        <v>52</v>
      </c>
      <c r="T17" s="147">
        <v>7.833333333333333</v>
      </c>
      <c r="U17" s="52">
        <v>147</v>
      </c>
      <c r="V17" s="52">
        <v>7</v>
      </c>
      <c r="W17" s="53">
        <v>7</v>
      </c>
      <c r="X17" s="165">
        <f t="shared" si="4"/>
        <v>1</v>
      </c>
      <c r="Y17" s="166" t="str">
        <f>VLOOKUP($V17,Notes3A!A$4:B$26,2)</f>
        <v>BLACK SWAN DU BUHOT</v>
      </c>
      <c r="Z17" s="164">
        <f t="shared" si="5"/>
        <v>1</v>
      </c>
    </row>
    <row r="18" spans="1:26" ht="15">
      <c r="A18" s="59"/>
      <c r="B18" s="147">
        <v>7.65</v>
      </c>
      <c r="C18" s="52">
        <v>147</v>
      </c>
      <c r="D18" s="52">
        <v>7</v>
      </c>
      <c r="E18" s="53">
        <v>7</v>
      </c>
      <c r="F18" s="165">
        <f t="shared" si="0"/>
        <v>2</v>
      </c>
      <c r="G18" s="166" t="str">
        <f>VLOOKUP($D18,Notes3A!A$4:B$26,2)</f>
        <v>BLACK SWAN DU BUHOT</v>
      </c>
      <c r="H18" s="164">
        <f t="shared" si="1"/>
        <v>2</v>
      </c>
      <c r="J18" s="59"/>
      <c r="K18" s="59"/>
      <c r="L18" s="52">
        <v>145</v>
      </c>
      <c r="M18" s="52">
        <v>3</v>
      </c>
      <c r="N18" s="53">
        <v>3</v>
      </c>
      <c r="O18" s="165">
        <f t="shared" si="2"/>
        <v>2</v>
      </c>
      <c r="P18" s="166" t="str">
        <f>VLOOKUP($M18,Notes3A!A$4:B$26,2)</f>
        <v>BOOSTER DE LA CROIX</v>
      </c>
      <c r="Q18" s="164">
        <f t="shared" si="3"/>
        <v>2</v>
      </c>
      <c r="S18" s="59"/>
      <c r="T18" s="147">
        <v>7.666666666666667</v>
      </c>
      <c r="U18" s="52">
        <v>147</v>
      </c>
      <c r="V18" s="52">
        <v>6</v>
      </c>
      <c r="W18" s="53">
        <v>6</v>
      </c>
      <c r="X18" s="165">
        <f t="shared" si="4"/>
        <v>2</v>
      </c>
      <c r="Y18" s="166" t="str">
        <f>VLOOKUP($V18,Notes3A!A$4:B$26,2)</f>
        <v>BOOMERANG RISLOIS</v>
      </c>
      <c r="Z18" s="164">
        <f t="shared" si="5"/>
        <v>2</v>
      </c>
    </row>
    <row r="19" spans="1:26" ht="15">
      <c r="A19" s="59"/>
      <c r="B19" s="147">
        <v>7.6</v>
      </c>
      <c r="C19" s="52">
        <v>146</v>
      </c>
      <c r="D19" s="52">
        <v>4</v>
      </c>
      <c r="E19" s="53">
        <v>4</v>
      </c>
      <c r="F19" s="165">
        <f t="shared" si="0"/>
        <v>3</v>
      </c>
      <c r="G19" s="166" t="str">
        <f>VLOOKUP($D19,Notes3A!A$4:B$26,2)</f>
        <v>BOSTON DES LONDES</v>
      </c>
      <c r="H19" s="164">
        <f t="shared" si="1"/>
        <v>3</v>
      </c>
      <c r="J19" s="59"/>
      <c r="K19" s="147">
        <v>7.25</v>
      </c>
      <c r="L19" s="52">
        <v>148</v>
      </c>
      <c r="M19" s="52">
        <v>9</v>
      </c>
      <c r="N19" s="53">
        <v>9</v>
      </c>
      <c r="O19" s="165">
        <f t="shared" si="2"/>
        <v>3</v>
      </c>
      <c r="P19" s="166" t="str">
        <f>VLOOKUP($M19,Notes3A!A$4:B$26,2)</f>
        <v>BALDUR D'ORLOV</v>
      </c>
      <c r="Q19" s="164">
        <f t="shared" si="3"/>
        <v>3</v>
      </c>
      <c r="S19" s="59"/>
      <c r="T19" s="59"/>
      <c r="U19" s="52">
        <v>145</v>
      </c>
      <c r="V19" s="52">
        <v>3</v>
      </c>
      <c r="W19" s="53">
        <v>3</v>
      </c>
      <c r="X19" s="165">
        <f t="shared" si="4"/>
        <v>3</v>
      </c>
      <c r="Y19" s="166" t="str">
        <f>VLOOKUP($V19,Notes3A!A$4:B$26,2)</f>
        <v>BOOSTER DE LA CROIX</v>
      </c>
      <c r="Z19" s="164">
        <f t="shared" si="5"/>
        <v>3</v>
      </c>
    </row>
    <row r="20" spans="1:26" ht="15">
      <c r="A20" s="59"/>
      <c r="B20" s="147">
        <v>7.45</v>
      </c>
      <c r="C20" s="52">
        <v>148</v>
      </c>
      <c r="D20" s="52">
        <v>9</v>
      </c>
      <c r="E20" s="53">
        <v>9</v>
      </c>
      <c r="F20" s="165">
        <f t="shared" si="0"/>
        <v>4</v>
      </c>
      <c r="G20" s="166" t="str">
        <f>VLOOKUP($D20,Notes3A!A$4:B$26,2)</f>
        <v>BALDUR D'ORLOV</v>
      </c>
      <c r="H20" s="164">
        <f t="shared" si="1"/>
        <v>4</v>
      </c>
      <c r="J20" s="59"/>
      <c r="K20" s="147">
        <v>7</v>
      </c>
      <c r="L20" s="52">
        <v>146</v>
      </c>
      <c r="M20" s="52">
        <v>5</v>
      </c>
      <c r="N20" s="53">
        <v>5</v>
      </c>
      <c r="O20" s="165">
        <f t="shared" si="2"/>
        <v>4</v>
      </c>
      <c r="P20" s="166" t="str">
        <f>VLOOKUP($M20,Notes3A!A$4:B$26,2)</f>
        <v>BJORKO D'ORLOV</v>
      </c>
      <c r="Q20" s="164">
        <f t="shared" si="3"/>
        <v>4</v>
      </c>
      <c r="S20" s="59"/>
      <c r="T20" s="147">
        <v>7.5</v>
      </c>
      <c r="U20" s="52">
        <v>146</v>
      </c>
      <c r="V20" s="52">
        <v>4</v>
      </c>
      <c r="W20" s="53">
        <v>4</v>
      </c>
      <c r="X20" s="165">
        <f t="shared" si="4"/>
        <v>4</v>
      </c>
      <c r="Y20" s="166" t="str">
        <f>VLOOKUP($V20,Notes3A!A$4:B$26,2)</f>
        <v>BOSTON DES LONDES</v>
      </c>
      <c r="Z20" s="164">
        <f t="shared" si="5"/>
        <v>4</v>
      </c>
    </row>
    <row r="21" spans="1:26" ht="15">
      <c r="A21" s="59"/>
      <c r="B21" s="147">
        <v>7.4</v>
      </c>
      <c r="C21" s="52">
        <v>147</v>
      </c>
      <c r="D21" s="52">
        <v>6</v>
      </c>
      <c r="E21" s="53">
        <v>6</v>
      </c>
      <c r="F21" s="165">
        <f t="shared" si="0"/>
        <v>5</v>
      </c>
      <c r="G21" s="166" t="str">
        <f>VLOOKUP($D21,Notes3A!A$4:B$26,2)</f>
        <v>BOOMERANG RISLOIS</v>
      </c>
      <c r="H21" s="164">
        <f t="shared" si="1"/>
        <v>5</v>
      </c>
      <c r="J21" s="59"/>
      <c r="K21" s="147">
        <v>6.875</v>
      </c>
      <c r="L21" s="52">
        <v>147</v>
      </c>
      <c r="M21" s="52">
        <v>6</v>
      </c>
      <c r="N21" s="53">
        <v>6</v>
      </c>
      <c r="O21" s="165">
        <f t="shared" si="2"/>
        <v>5</v>
      </c>
      <c r="P21" s="166" t="str">
        <f>VLOOKUP($M21,Notes3A!A$4:B$26,2)</f>
        <v>BOOMERANG RISLOIS</v>
      </c>
      <c r="Q21" s="164">
        <f t="shared" si="3"/>
        <v>5</v>
      </c>
      <c r="S21" s="59"/>
      <c r="T21" s="59"/>
      <c r="U21" s="52">
        <v>148</v>
      </c>
      <c r="V21" s="52">
        <v>8</v>
      </c>
      <c r="W21" s="53">
        <v>8</v>
      </c>
      <c r="X21" s="165">
        <f t="shared" si="4"/>
        <v>5</v>
      </c>
      <c r="Y21" s="166" t="str">
        <f>VLOOKUP($V21,Notes3A!A$4:B$26,2)</f>
        <v>BORGUND D'ORLOV</v>
      </c>
      <c r="Z21" s="164">
        <f t="shared" si="5"/>
        <v>5</v>
      </c>
    </row>
    <row r="22" spans="1:26" ht="15">
      <c r="A22" s="59"/>
      <c r="B22" s="147">
        <v>7.35</v>
      </c>
      <c r="C22" s="52">
        <v>148</v>
      </c>
      <c r="D22" s="52">
        <v>11</v>
      </c>
      <c r="E22" s="53">
        <v>11</v>
      </c>
      <c r="F22" s="165">
        <f t="shared" si="0"/>
        <v>6</v>
      </c>
      <c r="G22" s="166" t="str">
        <f>VLOOKUP($D22,Notes3A!A$4:B$26,2)</f>
        <v>BLUE JEANS</v>
      </c>
      <c r="H22" s="164">
        <f t="shared" si="1"/>
        <v>6</v>
      </c>
      <c r="J22" s="59"/>
      <c r="K22" s="147">
        <v>6.625</v>
      </c>
      <c r="L22" s="52">
        <v>148</v>
      </c>
      <c r="M22" s="52">
        <v>10</v>
      </c>
      <c r="N22" s="53">
        <v>10</v>
      </c>
      <c r="O22" s="165">
        <f t="shared" si="2"/>
        <v>6</v>
      </c>
      <c r="P22" s="166" t="str">
        <f>VLOOKUP($M22,Notes3A!A$4:B$26,2)</f>
        <v>BEN DE VILLEE</v>
      </c>
      <c r="Q22" s="164">
        <f t="shared" si="3"/>
        <v>6</v>
      </c>
      <c r="S22" s="59"/>
      <c r="T22" s="59"/>
      <c r="U22" s="59"/>
      <c r="V22" s="167">
        <v>9</v>
      </c>
      <c r="W22" s="168">
        <v>9</v>
      </c>
      <c r="X22" s="165">
        <f t="shared" si="4"/>
        <v>5</v>
      </c>
      <c r="Y22" s="166" t="str">
        <f>VLOOKUP($V22,Notes3A!A$4:B$26,2)</f>
        <v>BALDUR D'ORLOV</v>
      </c>
      <c r="Z22" s="164">
        <f t="shared" si="5"/>
        <v>6</v>
      </c>
    </row>
    <row r="23" spans="1:26" ht="15">
      <c r="A23" s="59"/>
      <c r="B23" s="147">
        <v>7.25</v>
      </c>
      <c r="C23" s="52">
        <v>148</v>
      </c>
      <c r="D23" s="52">
        <v>8</v>
      </c>
      <c r="E23" s="53">
        <v>8</v>
      </c>
      <c r="F23" s="165">
        <f t="shared" si="0"/>
        <v>7</v>
      </c>
      <c r="G23" s="166" t="str">
        <f>VLOOKUP($D23,Notes3A!A$4:B$26,2)</f>
        <v>BORGUND D'ORLOV</v>
      </c>
      <c r="H23" s="164">
        <f t="shared" si="1"/>
        <v>7</v>
      </c>
      <c r="J23" s="59"/>
      <c r="K23" s="147">
        <v>6.5</v>
      </c>
      <c r="L23" s="52">
        <v>146</v>
      </c>
      <c r="M23" s="52">
        <v>4</v>
      </c>
      <c r="N23" s="53">
        <v>4</v>
      </c>
      <c r="O23" s="165">
        <f t="shared" si="2"/>
        <v>7</v>
      </c>
      <c r="P23" s="166" t="str">
        <f>VLOOKUP($M23,Notes3A!A$4:B$26,2)</f>
        <v>BOSTON DES LONDES</v>
      </c>
      <c r="Q23" s="164">
        <f t="shared" si="3"/>
        <v>7</v>
      </c>
      <c r="S23" s="59"/>
      <c r="T23" s="147">
        <v>6.833333333333333</v>
      </c>
      <c r="U23" s="52">
        <v>148</v>
      </c>
      <c r="V23" s="52">
        <v>10</v>
      </c>
      <c r="W23" s="53">
        <v>10</v>
      </c>
      <c r="X23" s="165">
        <f t="shared" si="4"/>
        <v>7</v>
      </c>
      <c r="Y23" s="166" t="str">
        <f>VLOOKUP($V23,Notes3A!A$4:B$26,2)</f>
        <v>BEN DE VILLEE</v>
      </c>
      <c r="Z23" s="164">
        <f t="shared" si="5"/>
        <v>7</v>
      </c>
    </row>
    <row r="24" spans="1:26" ht="15">
      <c r="A24" s="59"/>
      <c r="B24" s="147">
        <v>7.15</v>
      </c>
      <c r="C24" s="52">
        <v>148</v>
      </c>
      <c r="D24" s="52">
        <v>10</v>
      </c>
      <c r="E24" s="53">
        <v>10</v>
      </c>
      <c r="F24" s="165">
        <f t="shared" si="0"/>
        <v>8</v>
      </c>
      <c r="G24" s="166" t="str">
        <f>VLOOKUP($D24,Notes3A!A$4:B$26,2)</f>
        <v>BEN DE VILLEE</v>
      </c>
      <c r="H24" s="164">
        <f t="shared" si="1"/>
        <v>8</v>
      </c>
      <c r="J24" s="59"/>
      <c r="K24" s="147">
        <v>6.375</v>
      </c>
      <c r="L24" s="52">
        <v>147</v>
      </c>
      <c r="M24" s="52">
        <v>7</v>
      </c>
      <c r="N24" s="53">
        <v>7</v>
      </c>
      <c r="O24" s="165">
        <f t="shared" si="2"/>
        <v>8</v>
      </c>
      <c r="P24" s="166" t="str">
        <f>VLOOKUP($M24,Notes3A!A$4:B$26,2)</f>
        <v>BLACK SWAN DU BUHOT</v>
      </c>
      <c r="Q24" s="164">
        <f t="shared" si="3"/>
        <v>8</v>
      </c>
      <c r="S24" s="59"/>
      <c r="T24" s="59"/>
      <c r="U24" s="59"/>
      <c r="V24" s="167">
        <v>11</v>
      </c>
      <c r="W24" s="168">
        <v>11</v>
      </c>
      <c r="X24" s="165">
        <f t="shared" si="4"/>
        <v>7</v>
      </c>
      <c r="Y24" s="166" t="str">
        <f>VLOOKUP($V24,Notes3A!A$4:B$26,2)</f>
        <v>BLUE JEANS</v>
      </c>
      <c r="Z24" s="164">
        <f t="shared" si="5"/>
        <v>8</v>
      </c>
    </row>
    <row r="25" spans="1:26" ht="15">
      <c r="A25" s="169"/>
      <c r="B25" s="148">
        <v>7.05</v>
      </c>
      <c r="C25" s="60">
        <v>146</v>
      </c>
      <c r="D25" s="60">
        <v>5</v>
      </c>
      <c r="E25" s="61">
        <v>5</v>
      </c>
      <c r="F25" s="165">
        <f t="shared" si="0"/>
        <v>9</v>
      </c>
      <c r="G25" s="166" t="str">
        <f>VLOOKUP($D25,Notes3A!A$4:B$26,2)</f>
        <v>BJORKO D'ORLOV</v>
      </c>
      <c r="H25" s="164">
        <f t="shared" si="1"/>
        <v>9</v>
      </c>
      <c r="J25" s="169"/>
      <c r="K25" s="148">
        <v>6.25</v>
      </c>
      <c r="L25" s="60">
        <v>148</v>
      </c>
      <c r="M25" s="60">
        <v>8</v>
      </c>
      <c r="N25" s="61">
        <v>8</v>
      </c>
      <c r="O25" s="165">
        <f t="shared" si="2"/>
        <v>9</v>
      </c>
      <c r="P25" s="166" t="str">
        <f>VLOOKUP($M25,Notes3A!A$4:B$26,2)</f>
        <v>BORGUND D'ORLOV</v>
      </c>
      <c r="Q25" s="164">
        <f t="shared" si="3"/>
        <v>9</v>
      </c>
      <c r="S25" s="169"/>
      <c r="T25" s="148">
        <v>6.333333333333333</v>
      </c>
      <c r="U25" s="60">
        <v>146</v>
      </c>
      <c r="V25" s="60">
        <v>5</v>
      </c>
      <c r="W25" s="61">
        <v>5</v>
      </c>
      <c r="X25" s="165">
        <f t="shared" si="4"/>
        <v>9</v>
      </c>
      <c r="Y25" s="166" t="str">
        <f>VLOOKUP($V25,Notes3A!A$4:B$26,2)</f>
        <v>BJORKO D'ORLOV</v>
      </c>
      <c r="Z25" s="164">
        <f t="shared" si="5"/>
        <v>9</v>
      </c>
    </row>
  </sheetData>
  <sheetProtection password="CCEF" sheet="1" selectLockedCells="1"/>
  <printOptions horizontalCentered="1"/>
  <pageMargins left="0.7874015748031497" right="0.7874015748031497" top="0.4724409448818898" bottom="0.5511811023622047" header="0.4724409448818898" footer="0.5118110236220472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zoomScale="75" zoomScaleNormal="75" zoomScalePageLayoutView="0" workbookViewId="0" topLeftCell="A1">
      <selection activeCell="D2" sqref="D2"/>
    </sheetView>
  </sheetViews>
  <sheetFormatPr defaultColWidth="10.00390625" defaultRowHeight="15"/>
  <cols>
    <col min="1" max="1" width="7.125" style="111" customWidth="1"/>
    <col min="2" max="2" width="39.00390625" style="111" customWidth="1"/>
    <col min="3" max="4" width="6.625" style="111" customWidth="1"/>
    <col min="5" max="5" width="39.00390625" style="111" customWidth="1"/>
    <col min="6" max="6" width="8.25390625" style="111" customWidth="1"/>
    <col min="7" max="7" width="6.625" style="111" customWidth="1"/>
    <col min="8" max="8" width="6.75390625" style="111" customWidth="1"/>
    <col min="9" max="16384" width="10.00390625" style="111" customWidth="1"/>
  </cols>
  <sheetData>
    <row r="1" spans="1:8" ht="19.5">
      <c r="A1" s="212" t="str">
        <f>+"FICHE DE NOTATION 3 ANS "&amp;IF(NOM="","",Notes3A!K1)</f>
        <v>FICHE DE NOTATION 3 ANS MONTES</v>
      </c>
      <c r="B1" s="212"/>
      <c r="C1" s="207" t="s">
        <v>74</v>
      </c>
      <c r="D1" s="207"/>
      <c r="E1" s="110" t="str">
        <f>+Notes3A!B1&amp;" "&amp;Notes3A!C1&amp;" "&amp;Notes3A!Q1</f>
        <v>LOCAL 2014 (61) LE PIN AU HARAS</v>
      </c>
      <c r="F1" s="205">
        <f>+Notes3A!AA1</f>
        <v>41783</v>
      </c>
      <c r="G1" s="205"/>
      <c r="H1" s="205"/>
    </row>
    <row r="2" spans="1:10" s="63" customFormat="1" ht="27" customHeight="1">
      <c r="A2" s="63" t="s">
        <v>75</v>
      </c>
      <c r="B2" s="64" t="str">
        <f>IF(ISERROR(VLOOKUP(N,Liste_3_ans,2,FALSE)),"",VLOOKUP(N,Liste_3_ans,2,FALSE))</f>
        <v>BOOSTER DE LA CROIX</v>
      </c>
      <c r="C2" s="65" t="s">
        <v>25</v>
      </c>
      <c r="D2" s="112">
        <v>3</v>
      </c>
      <c r="E2" s="113" t="str">
        <f>IF(NOM="","",+"Sexe: "&amp;VLOOKUP(N,Liste_3_ans,33)&amp;"        Race: "&amp;VLOOKUP(N,Liste_3_ans,4)&amp;"        Taille: "&amp;VLOOKUP(N,Liste_3_ans,5))</f>
        <v>Sexe: M        Race: PFS        Taille: 145</v>
      </c>
      <c r="F2" s="205"/>
      <c r="G2" s="205"/>
      <c r="H2" s="205"/>
      <c r="I2" s="65"/>
      <c r="J2" s="65"/>
    </row>
    <row r="3" spans="1:13" ht="12.75" customHeight="1">
      <c r="A3" s="213" t="str">
        <f>IF(NOM="","",+"De "&amp;VLOOKUP(N,Liste_3_ans,34))</f>
        <v>De KANTJE'S RONALDO (NL) NF</v>
      </c>
      <c r="B3" s="214"/>
      <c r="C3" s="215"/>
      <c r="D3" s="114"/>
      <c r="E3" s="208" t="s">
        <v>77</v>
      </c>
      <c r="F3" s="210">
        <v>2</v>
      </c>
      <c r="H3" s="115"/>
      <c r="I3" s="115"/>
      <c r="J3" s="115"/>
      <c r="K3" s="115"/>
      <c r="L3" s="115"/>
      <c r="M3" s="115"/>
    </row>
    <row r="4" spans="1:13" ht="12.75" customHeight="1">
      <c r="A4" s="222" t="str">
        <f>IF(NOM="","",+"et "&amp;VLOOKUP(N,Liste_3_ans,35))</f>
        <v>et DAMIETTE (FR) PFS</v>
      </c>
      <c r="B4" s="223"/>
      <c r="C4" s="224"/>
      <c r="D4" s="114"/>
      <c r="E4" s="209"/>
      <c r="F4" s="211"/>
      <c r="G4" s="116"/>
      <c r="H4" s="115"/>
      <c r="I4" s="115"/>
      <c r="J4" s="115"/>
      <c r="K4" s="115"/>
      <c r="L4" s="115"/>
      <c r="M4" s="115"/>
    </row>
    <row r="5" spans="1:13" ht="16.5" customHeight="1">
      <c r="A5" s="66"/>
      <c r="B5" s="223" t="str">
        <f>IF(NOM="","",+"par "&amp;VLOOKUP(N,Liste_3_ans,36))</f>
        <v>par SYRIUS DE MAI (FR) PFS</v>
      </c>
      <c r="C5" s="224"/>
      <c r="D5" s="117"/>
      <c r="E5" s="118" t="s">
        <v>40</v>
      </c>
      <c r="F5" s="119">
        <f>IF(NOM="","",VLOOKUP(N,Liste_3_ans,22))</f>
        <v>8</v>
      </c>
      <c r="G5" s="120">
        <v>10</v>
      </c>
      <c r="H5" s="115"/>
      <c r="I5" s="115"/>
      <c r="J5" s="115"/>
      <c r="K5" s="115"/>
      <c r="L5" s="115"/>
      <c r="M5" s="115"/>
    </row>
    <row r="6" spans="1:13" ht="16.5" customHeight="1">
      <c r="A6" s="229" t="str">
        <f>IF(NOM="","",+"né"&amp;IF(VLOOKUP(N,Liste_3_ans,33)="F","e","")&amp;" chez "&amp;VLOOKUP(N,Liste_3_ans,8))</f>
        <v>né chez DR.V LESOUEF MATHILDE
14800 BONNEVILLE SUR TOUQUES</v>
      </c>
      <c r="B6" s="230"/>
      <c r="C6" s="67"/>
      <c r="D6" s="121"/>
      <c r="E6" s="122" t="s">
        <v>41</v>
      </c>
      <c r="F6" s="119">
        <f>IF(NOM="","",VLOOKUP(N,Liste_3_ans,23))</f>
        <v>8</v>
      </c>
      <c r="G6" s="120">
        <v>10</v>
      </c>
      <c r="H6" s="115"/>
      <c r="I6" s="115"/>
      <c r="J6" s="115"/>
      <c r="K6" s="115"/>
      <c r="L6" s="115"/>
      <c r="M6" s="115"/>
    </row>
    <row r="7" spans="1:13" ht="16.5" customHeight="1">
      <c r="A7" s="229"/>
      <c r="B7" s="230"/>
      <c r="C7" s="67"/>
      <c r="D7" s="121"/>
      <c r="E7" s="122" t="s">
        <v>42</v>
      </c>
      <c r="F7" s="119">
        <f>IF(NOM="","",VLOOKUP(N,Liste_3_ans,24))</f>
        <v>8</v>
      </c>
      <c r="G7" s="120">
        <v>10</v>
      </c>
      <c r="H7" s="115"/>
      <c r="I7" s="115"/>
      <c r="J7" s="115"/>
      <c r="K7" s="115"/>
      <c r="L7" s="115"/>
      <c r="M7" s="115"/>
    </row>
    <row r="8" spans="1:9" ht="16.5" customHeight="1">
      <c r="A8" s="229" t="str">
        <f>IF(NOM="","",+"engagé par "&amp;VLOOKUP(N,Liste_3_ans,6))</f>
        <v>engagé par DR.V MATHILDE LESOUEF
14800 BONNEVILLE SUR TOUQUES</v>
      </c>
      <c r="B8" s="230"/>
      <c r="C8" s="67"/>
      <c r="D8" s="121"/>
      <c r="E8" s="122" t="s">
        <v>43</v>
      </c>
      <c r="F8" s="119">
        <f>IF(NOM="","",VLOOKUP(N,Liste_3_ans,25))</f>
        <v>8</v>
      </c>
      <c r="G8" s="120">
        <v>10</v>
      </c>
      <c r="H8" s="115"/>
      <c r="I8" s="115"/>
    </row>
    <row r="9" spans="1:9" ht="16.5" customHeight="1">
      <c r="A9" s="229"/>
      <c r="B9" s="230"/>
      <c r="C9" s="67"/>
      <c r="D9" s="121"/>
      <c r="E9" s="123" t="s">
        <v>2</v>
      </c>
      <c r="F9" s="124">
        <f>IF(NOM="","",SUM(F5:F8)/4)</f>
        <v>8</v>
      </c>
      <c r="G9" s="125">
        <f>SUM(G5:G8)/4</f>
        <v>10</v>
      </c>
      <c r="H9" s="126"/>
      <c r="I9" s="115"/>
    </row>
    <row r="10" spans="1:9" ht="16.5" customHeight="1" thickBot="1">
      <c r="A10" s="219" t="str">
        <f>IF(NOM="","",+"Présenté par "&amp;UPPER(VLOOKUP(N,Liste_3_ans,10)))</f>
        <v>Présenté par DR.V MATHILDE LESOUEF</v>
      </c>
      <c r="B10" s="220"/>
      <c r="C10" s="221"/>
      <c r="D10" s="127"/>
      <c r="F10" s="180">
        <f>+F9*Obstacle_Coef</f>
        <v>16</v>
      </c>
      <c r="G10" s="115"/>
      <c r="I10" s="115"/>
    </row>
    <row r="11" spans="1:9" ht="16.5" customHeight="1" thickTop="1">
      <c r="A11" s="128"/>
      <c r="B11" s="128"/>
      <c r="C11" s="128"/>
      <c r="D11" s="127"/>
      <c r="G11" s="115"/>
      <c r="I11" s="115"/>
    </row>
    <row r="12" spans="1:9" ht="27">
      <c r="A12" s="231" t="s">
        <v>7</v>
      </c>
      <c r="B12" s="232"/>
      <c r="C12" s="129">
        <v>5</v>
      </c>
      <c r="D12" s="115"/>
      <c r="E12" s="130" t="s">
        <v>76</v>
      </c>
      <c r="F12" s="131">
        <v>3</v>
      </c>
      <c r="G12" s="115"/>
      <c r="I12" s="115"/>
    </row>
    <row r="13" spans="1:9" ht="16.5">
      <c r="A13" s="206" t="s">
        <v>31</v>
      </c>
      <c r="B13" s="206"/>
      <c r="C13" s="119">
        <f>IF(NOM="","",VLOOKUP(N,Liste_3_ans,11))</f>
        <v>7.5</v>
      </c>
      <c r="D13" s="120">
        <v>10</v>
      </c>
      <c r="E13" s="132" t="s">
        <v>45</v>
      </c>
      <c r="F13" s="119">
        <f>IF(NOM="","",VLOOKUP(N,Liste_3_ans,27))</f>
        <v>7</v>
      </c>
      <c r="G13" s="120">
        <v>10</v>
      </c>
      <c r="H13" s="115"/>
      <c r="I13" s="115"/>
    </row>
    <row r="14" spans="1:9" ht="16.5">
      <c r="A14" s="206" t="s">
        <v>32</v>
      </c>
      <c r="B14" s="206"/>
      <c r="C14" s="119">
        <f>IF(NOM="","",VLOOKUP(N,Liste_3_ans,12))</f>
        <v>8</v>
      </c>
      <c r="D14" s="120">
        <v>10</v>
      </c>
      <c r="E14" s="122" t="s">
        <v>46</v>
      </c>
      <c r="F14" s="119">
        <f>IF(NOM="","",VLOOKUP(N,Liste_3_ans,28))</f>
        <v>8.5</v>
      </c>
      <c r="G14" s="120">
        <v>10</v>
      </c>
      <c r="H14" s="115"/>
      <c r="I14" s="115"/>
    </row>
    <row r="15" spans="1:9" ht="16.5">
      <c r="A15" s="206" t="s">
        <v>33</v>
      </c>
      <c r="B15" s="206"/>
      <c r="C15" s="119">
        <f>IF(NOM="","",VLOOKUP(N,Liste_3_ans,13))</f>
        <v>8</v>
      </c>
      <c r="D15" s="120">
        <v>10</v>
      </c>
      <c r="E15" s="122" t="s">
        <v>47</v>
      </c>
      <c r="F15" s="119">
        <f>IF(NOM="","",VLOOKUP(N,Liste_3_ans,29))</f>
        <v>7.5</v>
      </c>
      <c r="G15" s="120">
        <v>10</v>
      </c>
      <c r="H15" s="115"/>
      <c r="I15" s="115"/>
    </row>
    <row r="16" spans="1:9" ht="16.5" customHeight="1">
      <c r="A16" s="206" t="s">
        <v>34</v>
      </c>
      <c r="B16" s="206"/>
      <c r="C16" s="119">
        <f>IF(NOM="","",VLOOKUP(N,Liste_3_ans,14))</f>
        <v>7.5</v>
      </c>
      <c r="D16" s="120">
        <v>10</v>
      </c>
      <c r="E16" s="133" t="s">
        <v>67</v>
      </c>
      <c r="F16" s="124">
        <f>IF(NOM="","",SUM(F13:F15)/3)</f>
        <v>7.666666666666667</v>
      </c>
      <c r="G16" s="125">
        <f>SUM(G13:G15)/3</f>
        <v>10</v>
      </c>
      <c r="H16" s="115"/>
      <c r="I16" s="115"/>
    </row>
    <row r="17" spans="1:9" ht="16.5">
      <c r="A17" s="206" t="s">
        <v>35</v>
      </c>
      <c r="B17" s="206"/>
      <c r="C17" s="119">
        <f>IF(NOM="","",VLOOKUP(N,Liste_3_ans,15))</f>
        <v>8</v>
      </c>
      <c r="D17" s="120">
        <v>10</v>
      </c>
      <c r="F17" s="180">
        <f>+F16*Allures_Coef</f>
        <v>23</v>
      </c>
      <c r="H17" s="115"/>
      <c r="I17" s="115"/>
    </row>
    <row r="18" spans="1:9" ht="19.5" customHeight="1">
      <c r="A18" s="206" t="s">
        <v>36</v>
      </c>
      <c r="B18" s="206"/>
      <c r="C18" s="119">
        <f>IF(NOM="","",VLOOKUP(N,Liste_3_ans,16))</f>
        <v>7.5</v>
      </c>
      <c r="D18" s="120">
        <v>10</v>
      </c>
      <c r="H18" s="115"/>
      <c r="I18" s="115"/>
    </row>
    <row r="19" spans="1:9" ht="19.5">
      <c r="A19" s="206" t="s">
        <v>37</v>
      </c>
      <c r="B19" s="206"/>
      <c r="C19" s="119">
        <f>IF(NOM="","",VLOOKUP(N,Liste_3_ans,17))</f>
        <v>7.5</v>
      </c>
      <c r="D19" s="120">
        <v>10</v>
      </c>
      <c r="E19" s="134" t="s">
        <v>3</v>
      </c>
      <c r="F19" s="135"/>
      <c r="G19" s="135"/>
      <c r="H19" s="115"/>
      <c r="I19" s="115"/>
    </row>
    <row r="20" spans="1:9" ht="16.5" customHeight="1">
      <c r="A20" s="206" t="s">
        <v>38</v>
      </c>
      <c r="B20" s="206"/>
      <c r="C20" s="119">
        <f>IF(NOM="","",VLOOKUP(N,Liste_3_ans,18))</f>
        <v>8</v>
      </c>
      <c r="D20" s="120">
        <v>10</v>
      </c>
      <c r="E20" s="136" t="s">
        <v>79</v>
      </c>
      <c r="F20" s="137" t="s">
        <v>4</v>
      </c>
      <c r="G20" s="138">
        <f>VLOOKUP(N,Liste_3_ans,31)</f>
        <v>0</v>
      </c>
      <c r="H20" s="115"/>
      <c r="I20" s="115"/>
    </row>
    <row r="21" spans="1:9" ht="16.5" customHeight="1">
      <c r="A21" s="206" t="s">
        <v>5</v>
      </c>
      <c r="B21" s="206"/>
      <c r="C21" s="119">
        <f>IF(NOM="","",VLOOKUP(N,Liste_3_ans,19))</f>
        <v>8</v>
      </c>
      <c r="D21" s="120">
        <v>10</v>
      </c>
      <c r="E21" s="233" t="e">
        <f>IF(VLOOKUP(N,Liste_3_ans,39)="à vérifier",+"Attention, votre poney a été toisé "&amp;VLOOKUP(N,Liste_3_ans,5)&amp;" cm","")</f>
        <v>#REF!</v>
      </c>
      <c r="F21" s="233"/>
      <c r="G21" s="233"/>
      <c r="H21" s="233"/>
      <c r="I21" s="115"/>
    </row>
    <row r="22" spans="1:9" ht="22.5">
      <c r="A22" s="217" t="s">
        <v>78</v>
      </c>
      <c r="B22" s="217"/>
      <c r="C22" s="139" t="s">
        <v>6</v>
      </c>
      <c r="D22" s="140">
        <f>VLOOKUP(N,Liste_3_ans,20)</f>
        <v>0</v>
      </c>
      <c r="E22" s="227" t="s">
        <v>9</v>
      </c>
      <c r="F22" s="228"/>
      <c r="G22" s="228"/>
      <c r="I22" s="115"/>
    </row>
    <row r="23" spans="1:9" ht="22.5">
      <c r="A23" s="218" t="s">
        <v>2</v>
      </c>
      <c r="B23" s="218"/>
      <c r="C23" s="141">
        <f>SUM(C13:C21)+C21</f>
        <v>78</v>
      </c>
      <c r="D23" s="142">
        <f>SUM(D13:D21)+D21</f>
        <v>100</v>
      </c>
      <c r="E23" s="225" t="s">
        <v>10</v>
      </c>
      <c r="F23" s="226"/>
      <c r="G23" s="226"/>
      <c r="H23" s="115"/>
      <c r="I23" s="115"/>
    </row>
    <row r="24" spans="1:9" ht="19.5">
      <c r="A24" s="216" t="s">
        <v>67</v>
      </c>
      <c r="B24" s="216"/>
      <c r="C24" s="124">
        <f>IF(NOM="","",+D22+C23/10)</f>
        <v>7.8</v>
      </c>
      <c r="D24" s="143">
        <f>+D23/10</f>
        <v>10</v>
      </c>
      <c r="E24" s="144" t="s">
        <v>8</v>
      </c>
      <c r="F24" s="145">
        <f>IF(NOM="","",(+C24*C12+F9*F3+F16*F12)/10-G20)</f>
        <v>7.8</v>
      </c>
      <c r="G24" s="146">
        <f>+(D24+G9+G16)/3</f>
        <v>10</v>
      </c>
      <c r="H24" s="115"/>
      <c r="I24" s="115"/>
    </row>
    <row r="25" spans="3:10" ht="15">
      <c r="C25" s="180">
        <f>+C24*Modèle_Coef</f>
        <v>39</v>
      </c>
      <c r="I25" s="115"/>
      <c r="J25" s="115"/>
    </row>
    <row r="26" spans="9:10" ht="15">
      <c r="I26" s="115"/>
      <c r="J26" s="115"/>
    </row>
    <row r="27" ht="15">
      <c r="I27" s="115"/>
    </row>
    <row r="28" ht="15">
      <c r="I28" s="115"/>
    </row>
    <row r="29" ht="15">
      <c r="I29" s="115"/>
    </row>
    <row r="30" ht="15">
      <c r="I30" s="115"/>
    </row>
    <row r="31" ht="15">
      <c r="I31" s="115"/>
    </row>
    <row r="32" ht="15">
      <c r="I32" s="115"/>
    </row>
  </sheetData>
  <sheetProtection sheet="1" objects="1" scenarios="1" selectLockedCells="1"/>
  <mergeCells count="27">
    <mergeCell ref="A10:C10"/>
    <mergeCell ref="A4:C4"/>
    <mergeCell ref="B5:C5"/>
    <mergeCell ref="E23:G23"/>
    <mergeCell ref="E22:G22"/>
    <mergeCell ref="A6:B7"/>
    <mergeCell ref="A8:B9"/>
    <mergeCell ref="A12:B12"/>
    <mergeCell ref="A15:B15"/>
    <mergeCell ref="E21:H21"/>
    <mergeCell ref="A24:B24"/>
    <mergeCell ref="A18:B18"/>
    <mergeCell ref="A19:B19"/>
    <mergeCell ref="A20:B20"/>
    <mergeCell ref="A21:B21"/>
    <mergeCell ref="A22:B22"/>
    <mergeCell ref="A23:B23"/>
    <mergeCell ref="F1:H2"/>
    <mergeCell ref="A13:B13"/>
    <mergeCell ref="A16:B16"/>
    <mergeCell ref="A17:B17"/>
    <mergeCell ref="C1:D1"/>
    <mergeCell ref="A14:B14"/>
    <mergeCell ref="E3:E4"/>
    <mergeCell ref="F3:F4"/>
    <mergeCell ref="A1:B1"/>
    <mergeCell ref="A3:C3"/>
  </mergeCells>
  <printOptions horizontalCentered="1" verticalCentered="1"/>
  <pageMargins left="0.39375" right="0.39375" top="0.47222222222222227" bottom="0.5118055555555556" header="0.5118055555555556" footer="0.5118055555555556"/>
  <pageSetup horizontalDpi="300" verticalDpi="300" orientation="landscape" paperSize="9" r:id="rId2"/>
  <headerFooter alignWithMargins="0">
    <oddFooter>&amp;L&amp;"Comic Sans MS,Italique"&amp;9Tous les résultats et actualités de l'ONP sur&amp;C&amp;"Comic Sans MS,Italique"&amp;9www.chevaux-sport.com                       un site conçu par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</dc:creator>
  <cp:keywords/>
  <dc:description/>
  <cp:lastModifiedBy>CP</cp:lastModifiedBy>
  <cp:lastPrinted>2014-05-18T15:47:44Z</cp:lastPrinted>
  <dcterms:created xsi:type="dcterms:W3CDTF">2011-06-08T05:31:52Z</dcterms:created>
  <dcterms:modified xsi:type="dcterms:W3CDTF">2014-05-29T06:24:51Z</dcterms:modified>
  <cp:category/>
  <cp:version/>
  <cp:contentType/>
  <cp:contentStatus/>
</cp:coreProperties>
</file>